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4440" yWindow="0" windowWidth="25600" windowHeight="16060" firstSheet="1" activeTab="3"/>
  </bookViews>
  <sheets>
    <sheet name="Dashboard" sheetId="10" state="hidden" r:id="rId1"/>
    <sheet name="Financial Statements" sheetId="3" r:id="rId2"/>
    <sheet name="Restated Financial Statements" sheetId="2" r:id="rId3"/>
    <sheet name="Ratios" sheetId="8" r:id="rId4"/>
    <sheet name="Key Value Drivers" sheetId="4" r:id="rId5"/>
    <sheet name="Valuation" sheetId="6" r:id="rId6"/>
    <sheet name="Working" sheetId="9" r:id="rId7"/>
  </sheets>
  <externalReferences>
    <externalReference r:id="rId8"/>
    <externalReference r:id="rId9"/>
    <externalReference r:id="rId10"/>
  </externalReferences>
  <definedNames>
    <definedName name="_04">Ratios!#REF!</definedName>
    <definedName name="_05">Ratios!#REF!</definedName>
    <definedName name="_06">Ratios!$D:$D</definedName>
    <definedName name="_07">Ratios!$E:$E</definedName>
    <definedName name="_08">Ratios!$H:$H</definedName>
    <definedName name="_Abnormal_OI">Ratios!#REF!</definedName>
    <definedName name="_AE">Ratios!#REF!</definedName>
    <definedName name="_ATO">Ratios!#REF!</definedName>
    <definedName name="_BV">'[1]RESTATED Financial Statements'!$A$102:$IV$102</definedName>
    <definedName name="_CI">'[1]RESTATED Financial Statements'!$A$18:$IV$18</definedName>
    <definedName name="_Earnings">Ratios!#REF!</definedName>
    <definedName name="_FLEV">Ratios!#REF!</definedName>
    <definedName name="_FY04">'[1]RESTATED Financial Statements'!$D$1:$D$65536</definedName>
    <definedName name="_FY05">'[1]RESTATED Financial Statements'!$E$1:$E$65536</definedName>
    <definedName name="_FY06">'[1]RESTATED Financial Statements'!$F$1:$F$65536</definedName>
    <definedName name="_FY07_IFRS">'[1]RESTATED Financial Statements'!$H$1:$H$65536</definedName>
    <definedName name="_NBC">Ratios!#REF!</definedName>
    <definedName name="_NFE">'[1]RESTATED Financial Statements'!$A$49:$IV$49</definedName>
    <definedName name="_NFO">'[1]RESTATED Financial Statements'!$A$95:$IV$95</definedName>
    <definedName name="_NOA">'[1]RESTATED Financial Statements'!$A$84:$IV$84</definedName>
    <definedName name="_OA">'[1]RESTATED Financial Statements'!$A$74:$IV$74</definedName>
    <definedName name="_OI">'[1]RESTATED Financial Statements'!$A$42:$IV$42</definedName>
    <definedName name="_OL">'[1]RESTATED Financial Statements'!$A$82:$IV$82</definedName>
    <definedName name="_OLLEV">Ratios!#REF!</definedName>
    <definedName name="_OLSPREAD">Ratios!#REF!</definedName>
    <definedName name="_OR">'[1]RESTATED Financial Statements'!$A$36:$IV$36</definedName>
    <definedName name="_PM">Ratios!#REF!</definedName>
    <definedName name="_RNOA">Ratios!#REF!</definedName>
    <definedName name="_ROE">Ratios!#REF!</definedName>
    <definedName name="_ROOA">Ratios!#REF!</definedName>
    <definedName name="_shares">Ratios!#REF!</definedName>
    <definedName name="_SPREAD">Ratios!#REF!</definedName>
    <definedName name="AveValue">[2]New_Graph!$P$17</definedName>
    <definedName name="AveVol">[2]New_Graph!$O$17</definedName>
    <definedName name="Cat_unit">[2]New_Graph!$B$14</definedName>
    <definedName name="Code">[3]Last_Price!$A$1:$A$65536</definedName>
    <definedName name="Coy_Code">[2]New_Graph!$B$4</definedName>
    <definedName name="EndDate">[2]New_Graph!$C$6</definedName>
    <definedName name="g">[1]Drivers!#REF!</definedName>
    <definedName name="Last_price">[3]Last_Price!$D$1:$D$65536</definedName>
    <definedName name="LastPrice">[2]New_Graph!$C$3</definedName>
    <definedName name="NewCell">[2]All_Charts!$A$678</definedName>
    <definedName name="pD">Ratios!#REF!</definedName>
    <definedName name="pE">Ratios!#REF!</definedName>
    <definedName name="PF">Ratios!#REF!</definedName>
    <definedName name="Price_D">[2]New_Graph!$D$22:$D$286</definedName>
    <definedName name="_xlnm.Print_Area" localSheetId="1">'Financial Statements'!$B$1:$H$96</definedName>
    <definedName name="_xlnm.Print_Area" localSheetId="4">'Key Value Drivers'!$A$1:$N$26</definedName>
    <definedName name="_xlnm.Print_Area" localSheetId="3">Ratios!$B$2:$I$46</definedName>
    <definedName name="_xlnm.Print_Area" localSheetId="2">'Restated Financial Statements'!$A$1:$I$103</definedName>
    <definedName name="_xlnm.Print_Area" localSheetId="5">Valuation!$A$1:$J$38</definedName>
    <definedName name="RawData">[2]New_Graph!$B$23:$C$283</definedName>
    <definedName name="RawData2">[2]New_Graph!$N$23:$P$284</definedName>
    <definedName name="ROE">Ratios!#REF!</definedName>
    <definedName name="W_Price_High">[2]New_Graph!$B$16</definedName>
    <definedName name="W_Price_Low">[2]New_Graph!$B$15</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2" l="1"/>
  <c r="E10" i="2"/>
  <c r="E13" i="2"/>
  <c r="E14" i="2"/>
  <c r="E15" i="2"/>
  <c r="E16" i="2"/>
  <c r="E17" i="2"/>
  <c r="E18" i="2"/>
  <c r="E19" i="2"/>
  <c r="E20" i="2"/>
  <c r="E21" i="2"/>
  <c r="E22" i="2"/>
  <c r="E23" i="2"/>
  <c r="E24" i="2"/>
  <c r="E25" i="2"/>
  <c r="E26" i="2"/>
  <c r="E28" i="2"/>
  <c r="E31" i="2"/>
  <c r="E42" i="2"/>
  <c r="E43" i="2"/>
  <c r="E44" i="2"/>
  <c r="E45" i="2"/>
  <c r="E47" i="2"/>
  <c r="E32" i="2"/>
  <c r="E33" i="2"/>
  <c r="E36" i="2"/>
  <c r="E37" i="2"/>
  <c r="E39" i="2"/>
  <c r="E11" i="3"/>
  <c r="E122" i="2"/>
  <c r="E124" i="2"/>
  <c r="E64" i="2"/>
  <c r="E65" i="2"/>
  <c r="E66" i="2"/>
  <c r="E67" i="2"/>
  <c r="E68" i="2"/>
  <c r="E69" i="2"/>
  <c r="E70" i="2"/>
  <c r="E71" i="2"/>
  <c r="E72" i="2"/>
  <c r="E75" i="2"/>
  <c r="E76" i="2"/>
  <c r="E77" i="2"/>
  <c r="E78" i="2"/>
  <c r="E79" i="2"/>
  <c r="E80" i="2"/>
  <c r="E81" i="2"/>
  <c r="E83" i="2"/>
  <c r="F9" i="3"/>
  <c r="F11" i="3"/>
  <c r="F122" i="2"/>
  <c r="F124" i="2"/>
  <c r="F64" i="2"/>
  <c r="F65" i="2"/>
  <c r="F66" i="2"/>
  <c r="F67" i="2"/>
  <c r="F68" i="2"/>
  <c r="F69" i="2"/>
  <c r="F70" i="2"/>
  <c r="F71" i="2"/>
  <c r="F72" i="2"/>
  <c r="F75" i="2"/>
  <c r="F76" i="2"/>
  <c r="F77" i="2"/>
  <c r="F78" i="2"/>
  <c r="F79" i="2"/>
  <c r="F80" i="2"/>
  <c r="F81" i="2"/>
  <c r="F83" i="2"/>
  <c r="E47" i="8"/>
  <c r="F9" i="2"/>
  <c r="F10" i="2"/>
  <c r="F13" i="2"/>
  <c r="F14" i="2"/>
  <c r="F15" i="2"/>
  <c r="F16" i="2"/>
  <c r="F17" i="2"/>
  <c r="F18" i="2"/>
  <c r="F19" i="2"/>
  <c r="F20" i="2"/>
  <c r="F21" i="2"/>
  <c r="F22" i="2"/>
  <c r="F23" i="2"/>
  <c r="F24" i="2"/>
  <c r="F25" i="2"/>
  <c r="F26" i="2"/>
  <c r="F28" i="2"/>
  <c r="F31" i="2"/>
  <c r="F42" i="2"/>
  <c r="F43" i="2"/>
  <c r="F44" i="2"/>
  <c r="F45" i="2"/>
  <c r="F47" i="2"/>
  <c r="F32" i="2"/>
  <c r="F33" i="2"/>
  <c r="F36" i="2"/>
  <c r="F37" i="2"/>
  <c r="F39" i="2"/>
  <c r="G9" i="3"/>
  <c r="G11" i="3"/>
  <c r="G122" i="2"/>
  <c r="G124" i="2"/>
  <c r="G64" i="2"/>
  <c r="G65" i="2"/>
  <c r="G66" i="2"/>
  <c r="G67" i="2"/>
  <c r="G68" i="2"/>
  <c r="G69" i="2"/>
  <c r="G70" i="2"/>
  <c r="G71" i="2"/>
  <c r="G72" i="2"/>
  <c r="G75" i="2"/>
  <c r="G76" i="2"/>
  <c r="G77" i="2"/>
  <c r="G78" i="2"/>
  <c r="G79" i="2"/>
  <c r="G80" i="2"/>
  <c r="G81" i="2"/>
  <c r="G83" i="2"/>
  <c r="F47" i="8"/>
  <c r="D9" i="2"/>
  <c r="D10" i="2"/>
  <c r="D13" i="2"/>
  <c r="D14" i="2"/>
  <c r="D15" i="2"/>
  <c r="D16" i="2"/>
  <c r="D17" i="2"/>
  <c r="D18" i="2"/>
  <c r="D19" i="2"/>
  <c r="D20" i="2"/>
  <c r="D21" i="2"/>
  <c r="D22" i="2"/>
  <c r="D23" i="2"/>
  <c r="D24" i="2"/>
  <c r="D25" i="2"/>
  <c r="D26" i="2"/>
  <c r="D28" i="2"/>
  <c r="D31" i="2"/>
  <c r="D42" i="2"/>
  <c r="D43" i="2"/>
  <c r="D44" i="2"/>
  <c r="D45" i="2"/>
  <c r="D47" i="2"/>
  <c r="D32" i="2"/>
  <c r="D33" i="2"/>
  <c r="D36" i="2"/>
  <c r="D37" i="2"/>
  <c r="D39" i="2"/>
  <c r="D11" i="3"/>
  <c r="D122" i="2"/>
  <c r="D124" i="2"/>
  <c r="D64" i="2"/>
  <c r="D65" i="2"/>
  <c r="D66" i="2"/>
  <c r="D67" i="2"/>
  <c r="D68" i="2"/>
  <c r="D69" i="2"/>
  <c r="D70" i="2"/>
  <c r="D71" i="2"/>
  <c r="D72" i="2"/>
  <c r="D75" i="2"/>
  <c r="D76" i="2"/>
  <c r="D77" i="2"/>
  <c r="D78" i="2"/>
  <c r="D79" i="2"/>
  <c r="D80" i="2"/>
  <c r="D81" i="2"/>
  <c r="D83" i="2"/>
  <c r="D47" i="8"/>
  <c r="E97" i="2"/>
  <c r="E98" i="2"/>
  <c r="E99" i="2"/>
  <c r="E100" i="2"/>
  <c r="F97" i="2"/>
  <c r="F98" i="2"/>
  <c r="F99" i="2"/>
  <c r="F100" i="2"/>
  <c r="E46" i="8"/>
  <c r="G97" i="2"/>
  <c r="G98" i="2"/>
  <c r="G99" i="2"/>
  <c r="G100" i="2"/>
  <c r="F46" i="8"/>
  <c r="D97" i="2"/>
  <c r="D98" i="2"/>
  <c r="D99" i="2"/>
  <c r="D100" i="2"/>
  <c r="D46" i="8"/>
  <c r="E45" i="8"/>
  <c r="F45" i="8"/>
  <c r="D45" i="8"/>
  <c r="E44" i="8"/>
  <c r="G9" i="2"/>
  <c r="G10" i="2"/>
  <c r="G13" i="2"/>
  <c r="G14" i="2"/>
  <c r="G15" i="2"/>
  <c r="G16" i="2"/>
  <c r="G17" i="2"/>
  <c r="G18" i="2"/>
  <c r="G19" i="2"/>
  <c r="G20" i="2"/>
  <c r="G21" i="2"/>
  <c r="G22" i="2"/>
  <c r="G23" i="2"/>
  <c r="G24" i="2"/>
  <c r="G25" i="2"/>
  <c r="G26" i="2"/>
  <c r="G28" i="2"/>
  <c r="G31" i="2"/>
  <c r="G42" i="2"/>
  <c r="G43" i="2"/>
  <c r="G44" i="2"/>
  <c r="G45" i="2"/>
  <c r="G47" i="2"/>
  <c r="G32" i="2"/>
  <c r="G33" i="2"/>
  <c r="G36" i="2"/>
  <c r="G37" i="2"/>
  <c r="G39" i="2"/>
  <c r="F44" i="8"/>
  <c r="D43" i="8"/>
  <c r="D44" i="8"/>
  <c r="E43" i="8"/>
  <c r="F43" i="8"/>
  <c r="G43" i="8"/>
  <c r="E48" i="8"/>
  <c r="E40" i="8"/>
  <c r="E41" i="8"/>
  <c r="F48" i="8"/>
  <c r="F40" i="8"/>
  <c r="F41" i="8"/>
  <c r="G48" i="8"/>
  <c r="G40" i="8"/>
  <c r="G41" i="8"/>
  <c r="D48" i="8"/>
  <c r="D40" i="8"/>
  <c r="D41" i="8"/>
  <c r="E35" i="8"/>
  <c r="E49" i="8"/>
  <c r="F35" i="8"/>
  <c r="F49" i="8"/>
  <c r="G35" i="8"/>
  <c r="G49" i="8"/>
  <c r="D35" i="8"/>
  <c r="D49" i="8"/>
  <c r="E42" i="8"/>
  <c r="F42" i="8"/>
  <c r="G42" i="8"/>
  <c r="D42" i="8"/>
  <c r="E121" i="2"/>
  <c r="E125" i="2"/>
  <c r="E86" i="2"/>
  <c r="E87" i="2"/>
  <c r="E90" i="2"/>
  <c r="E91" i="2"/>
  <c r="E92" i="2"/>
  <c r="E94" i="2"/>
  <c r="E39" i="8"/>
  <c r="F121" i="2"/>
  <c r="F125" i="2"/>
  <c r="F86" i="2"/>
  <c r="F87" i="2"/>
  <c r="F90" i="2"/>
  <c r="F91" i="2"/>
  <c r="F92" i="2"/>
  <c r="F94" i="2"/>
  <c r="F39" i="8"/>
  <c r="G121" i="2"/>
  <c r="G125" i="2"/>
  <c r="G86" i="2"/>
  <c r="G87" i="2"/>
  <c r="G90" i="2"/>
  <c r="G91" i="2"/>
  <c r="G92" i="2"/>
  <c r="G94" i="2"/>
  <c r="G39" i="8"/>
  <c r="E38" i="8"/>
  <c r="F38" i="8"/>
  <c r="G38" i="8"/>
  <c r="D121" i="2"/>
  <c r="D125" i="2"/>
  <c r="D86" i="2"/>
  <c r="D87" i="2"/>
  <c r="D90" i="2"/>
  <c r="D91" i="2"/>
  <c r="D92" i="2"/>
  <c r="D94" i="2"/>
  <c r="D39" i="8"/>
  <c r="D38" i="8"/>
  <c r="E37" i="8"/>
  <c r="F37" i="8"/>
  <c r="G37" i="8"/>
  <c r="D37" i="8"/>
  <c r="E48" i="2"/>
  <c r="E51" i="2"/>
  <c r="E53" i="2"/>
  <c r="E36" i="8"/>
  <c r="F48" i="2"/>
  <c r="F51" i="2"/>
  <c r="F53" i="2"/>
  <c r="F36" i="8"/>
  <c r="G48" i="2"/>
  <c r="G51" i="2"/>
  <c r="G53" i="2"/>
  <c r="G36" i="8"/>
  <c r="D48" i="2"/>
  <c r="D51" i="2"/>
  <c r="D53" i="2"/>
  <c r="D36" i="8"/>
  <c r="E54" i="2"/>
  <c r="E34" i="8"/>
  <c r="F54" i="2"/>
  <c r="F34" i="8"/>
  <c r="G54" i="2"/>
  <c r="G34" i="8"/>
  <c r="D54" i="2"/>
  <c r="D34" i="8"/>
  <c r="E33" i="8"/>
  <c r="F33" i="8"/>
  <c r="G33" i="8"/>
  <c r="D33" i="8"/>
  <c r="E58" i="3"/>
  <c r="E65" i="3"/>
  <c r="E67" i="3"/>
  <c r="E77" i="3"/>
  <c r="E85" i="3"/>
  <c r="E87" i="3"/>
  <c r="E89" i="3"/>
  <c r="E29" i="8"/>
  <c r="E30" i="8"/>
  <c r="F58" i="3"/>
  <c r="F65" i="3"/>
  <c r="F67" i="3"/>
  <c r="F77" i="3"/>
  <c r="F85" i="3"/>
  <c r="F87" i="3"/>
  <c r="F89" i="3"/>
  <c r="F29" i="8"/>
  <c r="F30" i="8"/>
  <c r="G58" i="3"/>
  <c r="G65" i="3"/>
  <c r="G67" i="3"/>
  <c r="G77" i="3"/>
  <c r="G85" i="3"/>
  <c r="G87" i="3"/>
  <c r="G89" i="3"/>
  <c r="G29" i="8"/>
  <c r="G30" i="8"/>
  <c r="D58" i="3"/>
  <c r="D65" i="3"/>
  <c r="D67" i="3"/>
  <c r="D77" i="3"/>
  <c r="D85" i="3"/>
  <c r="D87" i="3"/>
  <c r="D89" i="3"/>
  <c r="D29" i="8"/>
  <c r="D30" i="8"/>
  <c r="E29" i="3"/>
  <c r="E31" i="3"/>
  <c r="E33" i="3"/>
  <c r="E25" i="8"/>
  <c r="E28" i="8"/>
  <c r="F29" i="3"/>
  <c r="F31" i="3"/>
  <c r="F33" i="3"/>
  <c r="F25" i="8"/>
  <c r="F28" i="8"/>
  <c r="G29" i="3"/>
  <c r="G31" i="3"/>
  <c r="G33" i="3"/>
  <c r="G25" i="8"/>
  <c r="G28" i="8"/>
  <c r="D29" i="3"/>
  <c r="D31" i="3"/>
  <c r="D33" i="3"/>
  <c r="D25" i="8"/>
  <c r="D28" i="8"/>
  <c r="E26" i="8"/>
  <c r="E27" i="8"/>
  <c r="F26" i="8"/>
  <c r="F27" i="8"/>
  <c r="G26" i="8"/>
  <c r="G27" i="8"/>
  <c r="D26" i="8"/>
  <c r="D27" i="8"/>
  <c r="E22" i="8"/>
  <c r="F22" i="8"/>
  <c r="G22" i="8"/>
  <c r="D22" i="8"/>
  <c r="E95" i="3"/>
  <c r="E21" i="8"/>
  <c r="F95" i="3"/>
  <c r="F21" i="8"/>
  <c r="G95" i="3"/>
  <c r="G21" i="8"/>
  <c r="D95" i="3"/>
  <c r="D21" i="8"/>
  <c r="E20" i="8"/>
  <c r="F20" i="8"/>
  <c r="G20" i="8"/>
  <c r="D20" i="8"/>
  <c r="E17" i="8"/>
  <c r="F17" i="8"/>
  <c r="G17" i="8"/>
  <c r="D17" i="8"/>
  <c r="E16" i="8"/>
  <c r="F16" i="8"/>
  <c r="G16" i="8"/>
  <c r="D16" i="8"/>
  <c r="E15" i="8"/>
  <c r="F15" i="8"/>
  <c r="G15" i="8"/>
  <c r="D15" i="8"/>
  <c r="D12" i="8"/>
  <c r="E12" i="8"/>
  <c r="F12" i="8"/>
  <c r="G12" i="8"/>
  <c r="E11" i="8"/>
  <c r="F11" i="8"/>
  <c r="G11" i="8"/>
  <c r="D11" i="8"/>
  <c r="E8" i="8"/>
  <c r="F8" i="8"/>
  <c r="G8" i="8"/>
  <c r="D8" i="8"/>
  <c r="E7" i="8"/>
  <c r="F7" i="8"/>
  <c r="G7" i="8"/>
  <c r="D7" i="8"/>
  <c r="E118" i="2"/>
  <c r="F118" i="2"/>
  <c r="G118" i="2"/>
  <c r="D118" i="2"/>
  <c r="E117" i="2"/>
  <c r="F117" i="2"/>
  <c r="G117" i="2"/>
  <c r="D117" i="2"/>
  <c r="E116" i="2"/>
  <c r="F116" i="2"/>
  <c r="G116" i="2"/>
  <c r="D116" i="2"/>
  <c r="E115" i="2"/>
  <c r="F115" i="2"/>
  <c r="G115" i="2"/>
  <c r="D115" i="2"/>
  <c r="E126" i="2"/>
  <c r="F126" i="2"/>
  <c r="G126" i="2"/>
  <c r="D126" i="2"/>
  <c r="E123" i="2"/>
  <c r="F123" i="2"/>
  <c r="G123" i="2"/>
  <c r="D123" i="2"/>
  <c r="E112" i="2"/>
  <c r="F112" i="2"/>
  <c r="G112" i="2"/>
  <c r="D112" i="2"/>
  <c r="E111" i="2"/>
  <c r="F111" i="2"/>
  <c r="G111" i="2"/>
  <c r="D111" i="2"/>
  <c r="E102" i="2"/>
  <c r="F102" i="2"/>
  <c r="G102" i="2"/>
  <c r="D102" i="2"/>
  <c r="B99" i="2"/>
  <c r="B98" i="2"/>
  <c r="B97" i="2"/>
  <c r="B91" i="2"/>
  <c r="B90" i="2"/>
  <c r="B86" i="2"/>
  <c r="B80" i="2"/>
  <c r="B79" i="2"/>
  <c r="B78" i="2"/>
  <c r="B76" i="2"/>
  <c r="B75" i="2"/>
  <c r="B71" i="2"/>
  <c r="B70" i="2"/>
  <c r="B69" i="2"/>
  <c r="B68" i="2"/>
  <c r="B67" i="2"/>
  <c r="B66" i="2"/>
  <c r="B65" i="2"/>
  <c r="B64" i="2"/>
  <c r="B44" i="2"/>
  <c r="B43" i="2"/>
  <c r="B42" i="2"/>
  <c r="B36" i="2"/>
  <c r="B25" i="2"/>
  <c r="B24" i="2"/>
  <c r="B23" i="2"/>
  <c r="B22" i="2"/>
  <c r="B21" i="2"/>
  <c r="B20" i="2"/>
  <c r="B19" i="2"/>
  <c r="B18" i="2"/>
  <c r="B17" i="2"/>
  <c r="B16" i="2"/>
  <c r="B15" i="2"/>
  <c r="B14" i="2"/>
  <c r="B13" i="2"/>
  <c r="B9" i="2"/>
  <c r="E108" i="3"/>
  <c r="E109" i="3"/>
  <c r="E110" i="3"/>
  <c r="F108" i="3"/>
  <c r="F109" i="3"/>
  <c r="F110" i="3"/>
  <c r="G108" i="3"/>
  <c r="G109" i="3"/>
  <c r="G110" i="3"/>
  <c r="D108" i="3"/>
  <c r="D109" i="3"/>
  <c r="D110" i="3"/>
  <c r="E104" i="3"/>
  <c r="E105" i="3"/>
  <c r="E106" i="3"/>
  <c r="F104" i="3"/>
  <c r="F105" i="3"/>
  <c r="F106" i="3"/>
  <c r="G104" i="3"/>
  <c r="G105" i="3"/>
  <c r="G106" i="3"/>
  <c r="D104" i="3"/>
  <c r="D105" i="3"/>
  <c r="D106" i="3"/>
  <c r="E114" i="3"/>
  <c r="E115" i="3"/>
  <c r="E116" i="3"/>
  <c r="F114" i="3"/>
  <c r="F115" i="3"/>
  <c r="F116" i="3"/>
  <c r="G114" i="3"/>
  <c r="G115" i="3"/>
  <c r="G116" i="3"/>
  <c r="D114" i="3"/>
  <c r="D115" i="3"/>
  <c r="D116" i="3"/>
  <c r="C6" i="6"/>
  <c r="C28" i="6"/>
  <c r="C19" i="6"/>
  <c r="E13" i="4"/>
  <c r="F13" i="4"/>
  <c r="G13" i="4"/>
  <c r="G15" i="4"/>
  <c r="C34" i="6"/>
  <c r="G14" i="4"/>
  <c r="F15" i="4"/>
  <c r="G17" i="4"/>
  <c r="G18" i="4"/>
  <c r="G16" i="4"/>
  <c r="M9" i="4"/>
  <c r="M8" i="4"/>
  <c r="M7" i="4"/>
  <c r="D27" i="6"/>
  <c r="E27" i="6"/>
  <c r="F27" i="6"/>
  <c r="G27" i="6"/>
  <c r="H27" i="6"/>
  <c r="C27" i="6"/>
  <c r="B26" i="6"/>
  <c r="B24" i="6"/>
  <c r="B4" i="6"/>
  <c r="B2" i="6"/>
  <c r="H11" i="4"/>
  <c r="G11" i="4"/>
  <c r="G5" i="4"/>
  <c r="F5" i="4"/>
  <c r="E5" i="4"/>
  <c r="D5" i="4"/>
  <c r="B4" i="4"/>
  <c r="B2" i="4"/>
  <c r="G5" i="8"/>
  <c r="B4" i="8"/>
  <c r="B2" i="8"/>
  <c r="G6" i="2"/>
  <c r="D61" i="2"/>
  <c r="B59" i="2"/>
  <c r="B4" i="2"/>
  <c r="B57" i="2"/>
  <c r="B2" i="2"/>
  <c r="D49" i="3"/>
  <c r="E49" i="3"/>
  <c r="F49" i="3"/>
  <c r="G49" i="3"/>
  <c r="D6" i="3"/>
  <c r="D11" i="4"/>
  <c r="E6" i="3"/>
  <c r="E11" i="4"/>
  <c r="F6" i="3"/>
  <c r="F11" i="4"/>
  <c r="C45" i="3"/>
  <c r="G60" i="2"/>
  <c r="H5" i="4"/>
  <c r="I5" i="4"/>
  <c r="J5" i="4"/>
  <c r="K5" i="4"/>
  <c r="L5" i="4"/>
  <c r="M5" i="4"/>
  <c r="D6" i="2"/>
  <c r="F61" i="2"/>
  <c r="E6" i="2"/>
  <c r="E61" i="2"/>
  <c r="F6" i="2"/>
  <c r="G61" i="2"/>
  <c r="F60" i="2"/>
  <c r="D28" i="6"/>
  <c r="E28" i="6"/>
  <c r="F28" i="6"/>
  <c r="G28" i="6"/>
  <c r="H28" i="6"/>
  <c r="D6" i="6"/>
  <c r="E6" i="6"/>
  <c r="F6" i="6"/>
  <c r="G6" i="6"/>
  <c r="H6" i="6"/>
  <c r="E14" i="4"/>
  <c r="D15" i="4"/>
  <c r="D14" i="4"/>
  <c r="H31" i="6"/>
  <c r="H9" i="6"/>
  <c r="C18" i="6"/>
  <c r="D9" i="6"/>
  <c r="E9" i="6"/>
  <c r="F9" i="6"/>
  <c r="G9" i="6"/>
  <c r="D31" i="6"/>
  <c r="E31" i="6"/>
  <c r="F31" i="6"/>
  <c r="G31" i="6"/>
  <c r="D60" i="2"/>
  <c r="E60" i="2"/>
  <c r="E17" i="4"/>
  <c r="E15" i="4"/>
  <c r="E16" i="4"/>
  <c r="E18" i="4"/>
  <c r="F14" i="4"/>
  <c r="F16" i="4"/>
  <c r="H13" i="4"/>
  <c r="F18" i="4"/>
  <c r="F17" i="4"/>
  <c r="H14" i="4"/>
  <c r="I13" i="4"/>
  <c r="H15" i="4"/>
  <c r="H17" i="4"/>
  <c r="D30" i="6"/>
  <c r="D32" i="6"/>
  <c r="C32" i="6"/>
  <c r="C35" i="6"/>
  <c r="H18" i="4"/>
  <c r="H16" i="4"/>
  <c r="D8" i="6"/>
  <c r="D10" i="6"/>
  <c r="C11" i="6"/>
  <c r="J13" i="4"/>
  <c r="I15" i="4"/>
  <c r="I14" i="4"/>
  <c r="I17" i="4"/>
  <c r="E30" i="6"/>
  <c r="E32" i="6"/>
  <c r="I16" i="4"/>
  <c r="E8" i="6"/>
  <c r="E10" i="6"/>
  <c r="I18" i="4"/>
  <c r="J15" i="4"/>
  <c r="K13" i="4"/>
  <c r="J14" i="4"/>
  <c r="J18" i="4"/>
  <c r="J16" i="4"/>
  <c r="F8" i="6"/>
  <c r="F10" i="6"/>
  <c r="J17" i="4"/>
  <c r="F30" i="6"/>
  <c r="F32" i="6"/>
  <c r="K14" i="4"/>
  <c r="L13" i="4"/>
  <c r="K15" i="4"/>
  <c r="L15" i="4"/>
  <c r="M15" i="4"/>
  <c r="L14" i="4"/>
  <c r="K16" i="4"/>
  <c r="G8" i="6"/>
  <c r="G10" i="6"/>
  <c r="K17" i="4"/>
  <c r="G30" i="6"/>
  <c r="G32" i="6"/>
  <c r="K18" i="4"/>
  <c r="M14" i="4"/>
  <c r="L17" i="4"/>
  <c r="H30" i="6"/>
  <c r="H32" i="6"/>
  <c r="L16" i="4"/>
  <c r="H8" i="6"/>
  <c r="H10" i="6"/>
  <c r="L18" i="4"/>
  <c r="M18" i="4"/>
  <c r="M16" i="4"/>
  <c r="C17" i="6"/>
  <c r="C12" i="6"/>
  <c r="C13" i="6"/>
  <c r="M17" i="4"/>
  <c r="C20" i="6"/>
  <c r="C33" i="6"/>
</calcChain>
</file>

<file path=xl/comments1.xml><?xml version="1.0" encoding="utf-8"?>
<comments xmlns="http://schemas.openxmlformats.org/spreadsheetml/2006/main">
  <authors>
    <author>turnerma</author>
    <author>Martin Turner</author>
  </authors>
  <commentList>
    <comment ref="C2" authorId="0">
      <text>
        <r>
          <rPr>
            <sz val="8"/>
            <color indexed="81"/>
            <rFont val="Tahoma"/>
            <family val="2"/>
          </rPr>
          <t>Insert your company's name in this cell and it will be copied automatically throughout the rest of the spreadsheet</t>
        </r>
      </text>
    </comment>
    <comment ref="C4" authorId="0">
      <text>
        <r>
          <rPr>
            <sz val="8"/>
            <color indexed="81"/>
            <rFont val="Tahoma"/>
            <family val="2"/>
          </rPr>
          <t>Insert date in this cell and it will be copied automatically throughout the rest of the spreadsheet. Do NOT include year.</t>
        </r>
      </text>
    </comment>
    <comment ref="G6" authorId="1">
      <text>
        <r>
          <rPr>
            <b/>
            <sz val="9"/>
            <color indexed="81"/>
            <rFont val="Tahoma"/>
            <family val="2"/>
          </rPr>
          <t>Martin Turner:</t>
        </r>
        <r>
          <rPr>
            <sz val="9"/>
            <color indexed="81"/>
            <rFont val="Tahoma"/>
            <family val="2"/>
          </rPr>
          <t xml:space="preserve">
Insert currency in this cell.</t>
        </r>
      </text>
    </comment>
    <comment ref="C45" authorId="0">
      <text>
        <r>
          <rPr>
            <sz val="8"/>
            <color indexed="81"/>
            <rFont val="Tahoma"/>
            <family val="2"/>
          </rPr>
          <t>Insert company name in Cell B2 in this worksheet</t>
        </r>
      </text>
    </comment>
    <comment ref="C47" authorId="0">
      <text>
        <r>
          <rPr>
            <sz val="8"/>
            <color indexed="81"/>
            <rFont val="Tahoma"/>
            <family val="2"/>
          </rPr>
          <t>Insert date in this cell and it will be copied automatically throughout the rest of the spreadsheet. Do NOT include year.</t>
        </r>
      </text>
    </comment>
  </commentList>
</comments>
</file>

<file path=xl/comments2.xml><?xml version="1.0" encoding="utf-8"?>
<comments xmlns="http://schemas.openxmlformats.org/spreadsheetml/2006/main">
  <authors>
    <author>turnerma</author>
  </authors>
  <commentList>
    <comment ref="B2" authorId="0">
      <text>
        <r>
          <rPr>
            <sz val="8"/>
            <color indexed="81"/>
            <rFont val="Tahoma"/>
            <family val="2"/>
          </rPr>
          <t>Insert company name in Cell B2 in Financial Statements worksheet</t>
        </r>
        <r>
          <rPr>
            <sz val="8"/>
            <color indexed="81"/>
            <rFont val="Tahoma"/>
            <family val="2"/>
          </rPr>
          <t xml:space="preserve">
</t>
        </r>
      </text>
    </comment>
    <comment ref="B4" authorId="0">
      <text>
        <r>
          <rPr>
            <sz val="8"/>
            <color indexed="81"/>
            <rFont val="Tahoma"/>
            <family val="2"/>
          </rPr>
          <t>Insert date in Cell B4 in Financial Statements worksheet</t>
        </r>
      </text>
    </comment>
    <comment ref="B57" authorId="0">
      <text>
        <r>
          <rPr>
            <sz val="8"/>
            <color indexed="81"/>
            <rFont val="Tahoma"/>
            <family val="2"/>
          </rPr>
          <t>Insert company name in Cell B2 in Financial Statements worksheet</t>
        </r>
        <r>
          <rPr>
            <sz val="8"/>
            <color indexed="81"/>
            <rFont val="Tahoma"/>
            <family val="2"/>
          </rPr>
          <t xml:space="preserve">
</t>
        </r>
      </text>
    </comment>
    <comment ref="B59" authorId="0">
      <text>
        <r>
          <rPr>
            <sz val="8"/>
            <color indexed="81"/>
            <rFont val="Tahoma"/>
            <family val="2"/>
          </rPr>
          <t>Insert date in Cell B4 in Financial Statements worksheet</t>
        </r>
        <r>
          <rPr>
            <sz val="8"/>
            <color indexed="81"/>
            <rFont val="Tahoma"/>
            <family val="2"/>
          </rPr>
          <t xml:space="preserve">
</t>
        </r>
      </text>
    </comment>
  </commentList>
</comments>
</file>

<file path=xl/comments3.xml><?xml version="1.0" encoding="utf-8"?>
<comments xmlns="http://schemas.openxmlformats.org/spreadsheetml/2006/main">
  <authors>
    <author>turnerma</author>
  </authors>
  <commentList>
    <comment ref="B2" authorId="0">
      <text>
        <r>
          <rPr>
            <sz val="8"/>
            <color indexed="81"/>
            <rFont val="Tahoma"/>
            <family val="2"/>
          </rPr>
          <t>Insert company name in Cell B2 in Financial Statements worksheet</t>
        </r>
        <r>
          <rPr>
            <sz val="8"/>
            <color indexed="81"/>
            <rFont val="Tahoma"/>
            <family val="2"/>
          </rPr>
          <t xml:space="preserve">
</t>
        </r>
      </text>
    </comment>
    <comment ref="B4" authorId="0">
      <text>
        <r>
          <rPr>
            <sz val="8"/>
            <color indexed="81"/>
            <rFont val="Tahoma"/>
            <family val="2"/>
          </rPr>
          <t>Insert date in Cell B4 in Financial Statements worksheet</t>
        </r>
      </text>
    </comment>
  </commentList>
</comments>
</file>

<file path=xl/comments4.xml><?xml version="1.0" encoding="utf-8"?>
<comments xmlns="http://schemas.openxmlformats.org/spreadsheetml/2006/main">
  <authors>
    <author>turnerma</author>
    <author>Martin Turner</author>
    <author>User</author>
  </authors>
  <commentList>
    <comment ref="B2" authorId="0">
      <text>
        <r>
          <rPr>
            <sz val="8"/>
            <color indexed="81"/>
            <rFont val="Tahoma"/>
            <family val="2"/>
          </rPr>
          <t>Insert company name in Cell B2 in Financial Statements worksheet</t>
        </r>
      </text>
    </comment>
    <comment ref="B4" authorId="0">
      <text>
        <r>
          <rPr>
            <sz val="8"/>
            <color indexed="81"/>
            <rFont val="Tahoma"/>
            <family val="2"/>
          </rPr>
          <t>Insert date in Cell B4 in Financial Statements worksheet</t>
        </r>
        <r>
          <rPr>
            <sz val="8"/>
            <color indexed="81"/>
            <rFont val="Tahoma"/>
            <family val="2"/>
          </rPr>
          <t xml:space="preserve">
</t>
        </r>
      </text>
    </comment>
    <comment ref="D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E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F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G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H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I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J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K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L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M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M10" authorId="1">
      <text>
        <r>
          <rPr>
            <b/>
            <sz val="9"/>
            <color indexed="81"/>
            <rFont val="Tahoma"/>
            <family val="2"/>
          </rPr>
          <t>Martin Turner:</t>
        </r>
        <r>
          <rPr>
            <sz val="9"/>
            <color indexed="81"/>
            <rFont val="Tahoma"/>
            <family val="2"/>
          </rPr>
          <t xml:space="preserve">
Insert RINOA (Return on Incremental Net Operating Assets), which is your estimate of the return you expect on additional NOA invested in your firm's operating activities after the end of the forecast period. This will be used in the calculation of your firm's Continuing Value in the Valuation worksheet.</t>
        </r>
      </text>
    </comment>
    <comment ref="B14" authorId="2">
      <text>
        <r>
          <rPr>
            <sz val="9"/>
            <color indexed="81"/>
            <rFont val="Tahoma"/>
            <family val="2"/>
          </rPr>
          <t>Sales x PM</t>
        </r>
      </text>
    </comment>
    <comment ref="B15" authorId="2">
      <text>
        <r>
          <rPr>
            <sz val="9"/>
            <color indexed="81"/>
            <rFont val="Tahoma"/>
            <family val="2"/>
          </rPr>
          <t>Sales/ATO</t>
        </r>
      </text>
    </comment>
    <comment ref="B16" authorId="2">
      <text>
        <r>
          <rPr>
            <sz val="9"/>
            <color indexed="81"/>
            <rFont val="Tahoma"/>
            <family val="2"/>
          </rPr>
          <t>OI - ΔNOA</t>
        </r>
      </text>
    </comment>
    <comment ref="B17" authorId="2">
      <text>
        <r>
          <rPr>
            <sz val="9"/>
            <color indexed="81"/>
            <rFont val="Tahoma"/>
            <family val="2"/>
          </rPr>
          <t xml:space="preserve">[(OI/NOA) - WACC] x NOA
</t>
        </r>
      </text>
    </comment>
    <comment ref="B18" authorId="2">
      <text>
        <r>
          <rPr>
            <sz val="9"/>
            <color indexed="81"/>
            <rFont val="Tahoma"/>
            <family val="2"/>
          </rPr>
          <t>OI/NOA</t>
        </r>
      </text>
    </comment>
    <comment ref="B20" authorId="2">
      <text>
        <r>
          <rPr>
            <sz val="9"/>
            <color indexed="81"/>
            <rFont val="Tahoma"/>
            <family val="2"/>
          </rPr>
          <t>(Enter as a %, e.g. 10%, not as 1.10)</t>
        </r>
      </text>
    </comment>
  </commentList>
</comments>
</file>

<file path=xl/comments5.xml><?xml version="1.0" encoding="utf-8"?>
<comments xmlns="http://schemas.openxmlformats.org/spreadsheetml/2006/main">
  <authors>
    <author>turnerma</author>
    <author>Full Name</author>
  </authors>
  <commentList>
    <comment ref="B2" authorId="0">
      <text>
        <r>
          <rPr>
            <sz val="8"/>
            <color indexed="81"/>
            <rFont val="Tahoma"/>
            <family val="2"/>
          </rPr>
          <t>Insert company name in Cell B2 in Financial Statements worksheet</t>
        </r>
      </text>
    </comment>
    <comment ref="B4" authorId="0">
      <text>
        <r>
          <rPr>
            <sz val="8"/>
            <color indexed="81"/>
            <rFont val="Tahoma"/>
            <family val="2"/>
          </rPr>
          <t>Insert date in Cell B4 in Financial Statements worksheet</t>
        </r>
      </text>
    </comment>
    <comment ref="C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D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E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F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G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H5"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B12" authorId="1">
      <text>
        <r>
          <rPr>
            <sz val="8"/>
            <color indexed="81"/>
            <rFont val="Trebuchet MS"/>
            <family val="2"/>
          </rPr>
          <t>CV = [OIt+1 x (1-g/RINOA)]/(WACC-g)</t>
        </r>
      </text>
    </comment>
    <comment ref="C18" authorId="0">
      <text>
        <r>
          <rPr>
            <sz val="8"/>
            <color indexed="81"/>
            <rFont val="Tahoma"/>
            <family val="2"/>
          </rPr>
          <t>Enter g in Key Value Drivers worksheet Cell C21</t>
        </r>
      </text>
    </comment>
    <comment ref="B19" authorId="1">
      <text>
        <r>
          <rPr>
            <sz val="8"/>
            <color indexed="81"/>
            <rFont val="Trebuchet MS"/>
            <family val="2"/>
          </rPr>
          <t>Return on Incremental (or new) NOA after the forecast period</t>
        </r>
      </text>
    </comment>
    <comment ref="B24" authorId="0">
      <text>
        <r>
          <rPr>
            <sz val="8"/>
            <color indexed="81"/>
            <rFont val="Tahoma"/>
            <family val="2"/>
          </rPr>
          <t>Insert company name in Cell B2 in Financial Statements worksheet</t>
        </r>
      </text>
    </comment>
    <comment ref="B26" authorId="0">
      <text>
        <r>
          <rPr>
            <sz val="8"/>
            <color indexed="81"/>
            <rFont val="Tahoma"/>
            <family val="2"/>
          </rPr>
          <t>Insert date in Cell B4 in Financial Statements worksheet</t>
        </r>
      </text>
    </comment>
    <comment ref="C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D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E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F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G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H27" authorId="0">
      <text>
        <r>
          <rPr>
            <b/>
            <sz val="8"/>
            <color indexed="81"/>
            <rFont val="Tahoma"/>
            <family val="2"/>
          </rPr>
          <t>You may need to change the year in each column, depending on your company's balance date</t>
        </r>
        <r>
          <rPr>
            <sz val="8"/>
            <color indexed="81"/>
            <rFont val="Tahoma"/>
            <family val="2"/>
          </rPr>
          <t xml:space="preserve">
</t>
        </r>
      </text>
    </comment>
    <comment ref="C30" authorId="0">
      <text>
        <r>
          <rPr>
            <b/>
            <sz val="8"/>
            <color indexed="81"/>
            <rFont val="Tahoma"/>
            <family val="2"/>
          </rPr>
          <t>Keep this cell empty</t>
        </r>
        <r>
          <rPr>
            <sz val="8"/>
            <color indexed="81"/>
            <rFont val="Tahoma"/>
            <family val="2"/>
          </rPr>
          <t xml:space="preserve">
</t>
        </r>
      </text>
    </comment>
    <comment ref="C31" authorId="0">
      <text>
        <r>
          <rPr>
            <b/>
            <sz val="8"/>
            <color indexed="81"/>
            <rFont val="Tahoma"/>
            <family val="2"/>
          </rPr>
          <t>Keep this cell empty</t>
        </r>
        <r>
          <rPr>
            <sz val="8"/>
            <color indexed="81"/>
            <rFont val="Tahoma"/>
            <family val="2"/>
          </rPr>
          <t xml:space="preserve">
</t>
        </r>
      </text>
    </comment>
    <comment ref="B33" authorId="1">
      <text>
        <r>
          <rPr>
            <sz val="8"/>
            <color indexed="81"/>
            <rFont val="Trebuchet MS"/>
            <family val="2"/>
          </rPr>
          <t>CV = Economic Profitt+1/WACC + [OIt+1 x (g/RINOA)(RINOA - WACC)]/[WACCx(WACC-g)]</t>
        </r>
      </text>
    </comment>
    <comment ref="D33" authorId="0">
      <text>
        <r>
          <rPr>
            <b/>
            <sz val="8"/>
            <color indexed="81"/>
            <rFont val="Tahoma"/>
            <family val="2"/>
          </rPr>
          <t>Keep this cell empty</t>
        </r>
        <r>
          <rPr>
            <sz val="8"/>
            <color indexed="81"/>
            <rFont val="Tahoma"/>
            <family val="2"/>
          </rPr>
          <t xml:space="preserve">
</t>
        </r>
      </text>
    </comment>
    <comment ref="E33" authorId="0">
      <text>
        <r>
          <rPr>
            <b/>
            <sz val="8"/>
            <color indexed="81"/>
            <rFont val="Tahoma"/>
            <family val="2"/>
          </rPr>
          <t>Keep this cell empty</t>
        </r>
        <r>
          <rPr>
            <sz val="8"/>
            <color indexed="81"/>
            <rFont val="Tahoma"/>
            <family val="2"/>
          </rPr>
          <t xml:space="preserve">
</t>
        </r>
      </text>
    </comment>
    <comment ref="F33" authorId="0">
      <text>
        <r>
          <rPr>
            <b/>
            <sz val="8"/>
            <color indexed="81"/>
            <rFont val="Tahoma"/>
            <family val="2"/>
          </rPr>
          <t>Keep this cell empty</t>
        </r>
        <r>
          <rPr>
            <sz val="8"/>
            <color indexed="81"/>
            <rFont val="Tahoma"/>
            <family val="2"/>
          </rPr>
          <t xml:space="preserve">
</t>
        </r>
      </text>
    </comment>
    <comment ref="G33" authorId="0">
      <text>
        <r>
          <rPr>
            <b/>
            <sz val="8"/>
            <color indexed="81"/>
            <rFont val="Tahoma"/>
            <family val="2"/>
          </rPr>
          <t>Keep this cell empty</t>
        </r>
        <r>
          <rPr>
            <sz val="8"/>
            <color indexed="81"/>
            <rFont val="Tahoma"/>
            <family val="2"/>
          </rPr>
          <t xml:space="preserve">
</t>
        </r>
      </text>
    </comment>
    <comment ref="H33" authorId="0">
      <text>
        <r>
          <rPr>
            <b/>
            <sz val="8"/>
            <color indexed="81"/>
            <rFont val="Tahoma"/>
            <family val="2"/>
          </rPr>
          <t>Keep this cell empty</t>
        </r>
        <r>
          <rPr>
            <sz val="8"/>
            <color indexed="81"/>
            <rFont val="Tahoma"/>
            <family val="2"/>
          </rPr>
          <t xml:space="preserve">
</t>
        </r>
      </text>
    </comment>
    <comment ref="D34" authorId="0">
      <text>
        <r>
          <rPr>
            <b/>
            <sz val="8"/>
            <color indexed="81"/>
            <rFont val="Tahoma"/>
            <family val="2"/>
          </rPr>
          <t>Keep this cell empty</t>
        </r>
        <r>
          <rPr>
            <sz val="8"/>
            <color indexed="81"/>
            <rFont val="Tahoma"/>
            <family val="2"/>
          </rPr>
          <t xml:space="preserve">
</t>
        </r>
      </text>
    </comment>
    <comment ref="E34" authorId="0">
      <text>
        <r>
          <rPr>
            <b/>
            <sz val="8"/>
            <color indexed="81"/>
            <rFont val="Tahoma"/>
            <family val="2"/>
          </rPr>
          <t>Keep this cell empty</t>
        </r>
        <r>
          <rPr>
            <sz val="8"/>
            <color indexed="81"/>
            <rFont val="Tahoma"/>
            <family val="2"/>
          </rPr>
          <t xml:space="preserve">
</t>
        </r>
      </text>
    </comment>
    <comment ref="F34" authorId="0">
      <text>
        <r>
          <rPr>
            <b/>
            <sz val="8"/>
            <color indexed="81"/>
            <rFont val="Tahoma"/>
            <family val="2"/>
          </rPr>
          <t>Keep this cell empty</t>
        </r>
        <r>
          <rPr>
            <sz val="8"/>
            <color indexed="81"/>
            <rFont val="Tahoma"/>
            <family val="2"/>
          </rPr>
          <t xml:space="preserve">
</t>
        </r>
      </text>
    </comment>
    <comment ref="G34" authorId="0">
      <text>
        <r>
          <rPr>
            <b/>
            <sz val="8"/>
            <color indexed="81"/>
            <rFont val="Tahoma"/>
            <family val="2"/>
          </rPr>
          <t>Keep this cell empty</t>
        </r>
        <r>
          <rPr>
            <sz val="8"/>
            <color indexed="81"/>
            <rFont val="Tahoma"/>
            <family val="2"/>
          </rPr>
          <t xml:space="preserve">
</t>
        </r>
      </text>
    </comment>
    <comment ref="H34" authorId="0">
      <text>
        <r>
          <rPr>
            <b/>
            <sz val="8"/>
            <color indexed="81"/>
            <rFont val="Tahoma"/>
            <family val="2"/>
          </rPr>
          <t>Keep this cell empty</t>
        </r>
        <r>
          <rPr>
            <sz val="8"/>
            <color indexed="81"/>
            <rFont val="Tahoma"/>
            <family val="2"/>
          </rPr>
          <t xml:space="preserve">
</t>
        </r>
      </text>
    </comment>
  </commentList>
</comments>
</file>

<file path=xl/sharedStrings.xml><?xml version="1.0" encoding="utf-8"?>
<sst xmlns="http://schemas.openxmlformats.org/spreadsheetml/2006/main" count="410" uniqueCount="276">
  <si>
    <t>OI</t>
  </si>
  <si>
    <t>Sales</t>
  </si>
  <si>
    <t>NOA</t>
  </si>
  <si>
    <t>DCF VALUATION</t>
  </si>
  <si>
    <t>ECONOMIC PROFIT VALUATION</t>
  </si>
  <si>
    <t>Discount factor</t>
  </si>
  <si>
    <t>PV of FCF</t>
  </si>
  <si>
    <t>Free cash flow (FCF)</t>
  </si>
  <si>
    <t>Discounted FCF</t>
  </si>
  <si>
    <t>Enterprise value</t>
  </si>
  <si>
    <t>Economic profit</t>
  </si>
  <si>
    <t>PV of economic profit</t>
  </si>
  <si>
    <t>WACC</t>
  </si>
  <si>
    <t>FCF</t>
  </si>
  <si>
    <t>Economic Profit</t>
  </si>
  <si>
    <t>KEY VALUE DRIVERS</t>
  </si>
  <si>
    <t xml:space="preserve"> </t>
  </si>
  <si>
    <t>Sales growth (%)</t>
  </si>
  <si>
    <t>PM (%)</t>
  </si>
  <si>
    <t>ATO (times)</t>
  </si>
  <si>
    <r>
      <t xml:space="preserve">Economic Profit </t>
    </r>
    <r>
      <rPr>
        <b/>
        <vertAlign val="subscript"/>
        <sz val="10"/>
        <rFont val="Arial"/>
        <family val="2"/>
      </rPr>
      <t>t+1</t>
    </r>
  </si>
  <si>
    <t>Profitability Ratios</t>
  </si>
  <si>
    <t>Net Profit Margin</t>
  </si>
  <si>
    <t>Return on Assets</t>
  </si>
  <si>
    <t>Efficiency (or Asset Management) Ratios</t>
  </si>
  <si>
    <t>Total Asset Turnover Ratio</t>
  </si>
  <si>
    <t>Current Asset Turnover Ratio</t>
  </si>
  <si>
    <t>Liquidity Ratios</t>
  </si>
  <si>
    <t>Current Ratio</t>
  </si>
  <si>
    <t>Financial Structure Ratios</t>
  </si>
  <si>
    <t>Debt/Equity Ratio</t>
  </si>
  <si>
    <t>Equity Ratio</t>
  </si>
  <si>
    <t>Times Interest Earned</t>
  </si>
  <si>
    <t>Market Ratios</t>
  </si>
  <si>
    <t>Earnings per Share (EPS)</t>
  </si>
  <si>
    <t>Dividends per Share (DPS)</t>
  </si>
  <si>
    <t>Dividend Yield Ratio</t>
  </si>
  <si>
    <t>Price Earnings Ratio</t>
  </si>
  <si>
    <t>Net Asset Backing per Share Ratio</t>
  </si>
  <si>
    <t>Market/Book Ratio</t>
  </si>
  <si>
    <t>Dividend Payout Ratio</t>
  </si>
  <si>
    <t>Ratios Based on Reformulated Financial Statements</t>
  </si>
  <si>
    <t>Financial Leverage (FLEV)</t>
  </si>
  <si>
    <t>Operating Liability Leverage (OLLEV)</t>
  </si>
  <si>
    <t>Return on Operating Assets (ROOA)</t>
  </si>
  <si>
    <t>Return on Net Operating Assets (RNOA)</t>
  </si>
  <si>
    <t>Return on Equity (ROE)</t>
  </si>
  <si>
    <t>Operating Liability Leverage Spread (OLSPREAD)</t>
  </si>
  <si>
    <t>Profit Margin (PM)</t>
  </si>
  <si>
    <t>Growth in Sales</t>
  </si>
  <si>
    <t>Growth in Operating Income</t>
  </si>
  <si>
    <t>Growth in Net Operating Assets</t>
  </si>
  <si>
    <t>Growth in Shareholders' Equity</t>
  </si>
  <si>
    <t>Asset Turnover (ATO)</t>
  </si>
  <si>
    <t>Net Borrowing Cost (NBC)</t>
  </si>
  <si>
    <t>RNOA</t>
  </si>
  <si>
    <t>Quick Ratio 1</t>
  </si>
  <si>
    <t>Quick Ratio 2</t>
  </si>
  <si>
    <t>g</t>
  </si>
  <si>
    <t>Documentation</t>
  </si>
  <si>
    <t>Working Area</t>
  </si>
  <si>
    <t>Continuing Value</t>
  </si>
  <si>
    <r>
      <t xml:space="preserve">OI </t>
    </r>
    <r>
      <rPr>
        <b/>
        <vertAlign val="subscript"/>
        <sz val="10"/>
        <rFont val="Arial"/>
        <family val="2"/>
      </rPr>
      <t xml:space="preserve">t+1 </t>
    </r>
  </si>
  <si>
    <t>RINOA</t>
  </si>
  <si>
    <t>Continuing value</t>
  </si>
  <si>
    <t>Notes Area</t>
  </si>
  <si>
    <t>This is a place where you can copy and paste forumlas, play with calculations and generally have fun without messing up your other worksheets.</t>
  </si>
  <si>
    <t>RATIOS</t>
  </si>
  <si>
    <t xml:space="preserve">This is an area where we can put documentation.                      </t>
  </si>
  <si>
    <t xml:space="preserve">This is an area where we can put documentation.                                                                                                                     </t>
  </si>
  <si>
    <t xml:space="preserve">This is an area where we can put documentation.                                                                                                                                                                    </t>
  </si>
  <si>
    <t>This is a place where you can copy and paste formulas, play with calculations and generally have fun whilst being able to see the data you are currently working on.</t>
  </si>
  <si>
    <t xml:space="preserve">This area is designed as a space to write notes to yourself.  Hopefully this will save you the hassle of attempting to find the pen and paper that is somewhere in the bottom of your bag.  </t>
  </si>
  <si>
    <t xml:space="preserve">This area is designed as a space to write notes to yourself.  Hopefully this will save you the hassle of attempting to find the pen and paper that is somewhere in the bottom of your bag.                                                                                                                                                                                       </t>
  </si>
  <si>
    <t xml:space="preserve">This area is designed as a space to write notes to yourself.  Hopefully this will save you the hassle of attempting to find the pen and paper that is somewhere in the bottom of your bag.                                                         </t>
  </si>
  <si>
    <t>This area is designed as a space to write notes to yourself.  Hopefully this will save you the hassle of attempting to find the pen and paper that is somewhere in the bottom of your bag.</t>
  </si>
  <si>
    <t xml:space="preserve">The blue text represents hardwired calculation that should drop out upon entering appropriate data.                                                                                  </t>
  </si>
  <si>
    <t>Enter WACC</t>
  </si>
  <si>
    <t>Enter g</t>
  </si>
  <si>
    <t xml:space="preserve">This is an area where we can put documentation.                                                                                                                                                                 </t>
  </si>
  <si>
    <t>$000</t>
  </si>
  <si>
    <t>Balance Sheet</t>
  </si>
  <si>
    <t>Income Statement (and Comprehensive Income Statement)</t>
  </si>
  <si>
    <t>Restated Income Statement (&amp; Comprehensive Income Statement)</t>
  </si>
  <si>
    <t>Restated Balance Sheets</t>
  </si>
  <si>
    <t>Actual</t>
  </si>
  <si>
    <t>Forecast</t>
  </si>
  <si>
    <t>Operating income (OI) after tax/Net operating assets</t>
  </si>
  <si>
    <t>Net profit after tax/Sales</t>
  </si>
  <si>
    <t>Net profit after tax/Total assets</t>
  </si>
  <si>
    <t>Sales/Total assets</t>
  </si>
  <si>
    <t>Sales/Current assets</t>
  </si>
  <si>
    <t>Current assets/Current liabilities</t>
  </si>
  <si>
    <t>(Current assets - inventory - prepayments)/Current liabilities</t>
  </si>
  <si>
    <t>(Current assets - inventory - prepayments - receivables)/Current liabilities</t>
  </si>
  <si>
    <t>Debt/Equity</t>
  </si>
  <si>
    <t>Equity/Total assets</t>
  </si>
  <si>
    <t>Earnings before interest &amp; tax/Interest</t>
  </si>
  <si>
    <t>Net profit after tax/Number of issued shares</t>
  </si>
  <si>
    <t>Dividends/Number of issued shares</t>
  </si>
  <si>
    <t>Dividends per share/Market price per share</t>
  </si>
  <si>
    <t>Market price per share/Earnings per share</t>
  </si>
  <si>
    <t>Net assets (ie Total equity)/Number of shares issued</t>
  </si>
  <si>
    <t>Market price per share/Net asset backing per share</t>
  </si>
  <si>
    <t>1. You can use 5%  as the Short-term borrowing rate (after tax). See Study Guide Chapter 4, Section 4.3 footnote 5.</t>
  </si>
  <si>
    <r>
      <t>ROOA - short-term borrowing rate (after tax)</t>
    </r>
    <r>
      <rPr>
        <vertAlign val="superscript"/>
        <sz val="10"/>
        <rFont val="Trebuchet MS"/>
        <family val="2"/>
      </rPr>
      <t>1</t>
    </r>
  </si>
  <si>
    <t>Free Cash Flow</t>
  </si>
  <si>
    <t>OI - ∆NOA</t>
  </si>
  <si>
    <t>Implicit interest after tax</t>
  </si>
  <si>
    <t>Dividends/Comprehensive income (CI)</t>
  </si>
  <si>
    <t>OI after tax/Sales</t>
  </si>
  <si>
    <t>Change in OI after tax/Prior period's OI after tax</t>
  </si>
  <si>
    <t>Change in NOA/Opening NOA</t>
  </si>
  <si>
    <t>Change in shareholders' equity/Opening shareholders' equity</t>
  </si>
  <si>
    <t>Comprehensive Income (CI)/Shareholders' equity</t>
  </si>
  <si>
    <t>Net financial expenses after tax/Net financial obligations</t>
  </si>
  <si>
    <t>Operating liabilities/Net operating assets</t>
  </si>
  <si>
    <t>Net financial obligations/Shareholders' equity</t>
  </si>
  <si>
    <t>(OI after tax + implicit interest after tax)/Operating assets</t>
  </si>
  <si>
    <t>Sales/Net operating assets</t>
  </si>
  <si>
    <r>
      <t>Short-term borrowing rate (after tax)</t>
    </r>
    <r>
      <rPr>
        <vertAlign val="superscript"/>
        <sz val="10"/>
        <rFont val="Trebuchet MS"/>
        <family val="2"/>
      </rPr>
      <t>1</t>
    </r>
    <r>
      <rPr>
        <sz val="10"/>
        <rFont val="Trebuchet MS"/>
        <family val="2"/>
      </rPr>
      <t xml:space="preserve"> x Operating liabilities</t>
    </r>
  </si>
  <si>
    <t>2. To calculate these ratios for this year you will need to use figures from the Annual Report for the year previously.</t>
  </si>
  <si>
    <t>3. You can use 8% as WACC or the cost of capital for operations.</t>
  </si>
  <si>
    <r>
      <t>(RNOA - cost of capital</t>
    </r>
    <r>
      <rPr>
        <vertAlign val="superscript"/>
        <sz val="10"/>
        <rFont val="Trebuchet MS"/>
        <family val="2"/>
      </rPr>
      <t>3</t>
    </r>
    <r>
      <rPr>
        <sz val="10"/>
        <rFont val="Trebuchet MS"/>
        <family val="2"/>
      </rPr>
      <t>) x NOA</t>
    </r>
  </si>
  <si>
    <r>
      <t>Change in sales/Prior period's sales</t>
    </r>
    <r>
      <rPr>
        <vertAlign val="superscript"/>
        <sz val="10"/>
        <rFont val="Trebuchet MS"/>
        <family val="2"/>
      </rPr>
      <t>2</t>
    </r>
  </si>
  <si>
    <t>2018A</t>
  </si>
  <si>
    <t>2019F</t>
  </si>
  <si>
    <t>2020F</t>
  </si>
  <si>
    <t>2021F</t>
  </si>
  <si>
    <t>2022F</t>
  </si>
  <si>
    <t>2023F</t>
  </si>
  <si>
    <t>Do not enter any data in these cells</t>
  </si>
  <si>
    <t>Do not alter (or enter any data) in these cells</t>
  </si>
  <si>
    <t>Insert figures in Cell M10 for RINOA; and for Sales in Cell D13</t>
  </si>
  <si>
    <t>Altium Limited</t>
  </si>
  <si>
    <t>Years ended 30 June</t>
  </si>
  <si>
    <t>as at 30 June</t>
  </si>
  <si>
    <t>US$'000</t>
  </si>
  <si>
    <t>Revenue</t>
  </si>
  <si>
    <t>Expenses</t>
  </si>
  <si>
    <t>Employee benefits expense</t>
  </si>
  <si>
    <t>Share based payments</t>
  </si>
  <si>
    <t>Rental &amp; Occupancy expense</t>
  </si>
  <si>
    <t>Drepreciation &amp; Amortisation expense</t>
  </si>
  <si>
    <t>Marketing expense</t>
  </si>
  <si>
    <t>Software and equipment expense</t>
  </si>
  <si>
    <t>Travel expense</t>
  </si>
  <si>
    <t>Communication expense</t>
  </si>
  <si>
    <t>Professional advice expense</t>
  </si>
  <si>
    <t xml:space="preserve">Re-measurement of contingent consideration </t>
  </si>
  <si>
    <t>Profit before income tax expense</t>
  </si>
  <si>
    <t>Income tax expense</t>
  </si>
  <si>
    <t>Profit after income tax expense for the year attributable to the owners of Altium Limited</t>
  </si>
  <si>
    <t xml:space="preserve">Other Comprehensive Income </t>
  </si>
  <si>
    <t>Items that may be reclassified subsequently to profit or loss</t>
  </si>
  <si>
    <t>Exchange differennces on translation of foreign operations</t>
  </si>
  <si>
    <t>Other comprehensive income for the year, net of tax</t>
  </si>
  <si>
    <t>Total comprehensive income for the year attributable to the owners of Altium Limited</t>
  </si>
  <si>
    <t>Basic earnings per share</t>
  </si>
  <si>
    <t>Diluted earnings per share</t>
  </si>
  <si>
    <t>Restructuring costs</t>
  </si>
  <si>
    <t>Net foreign exchange gain/(loss)</t>
  </si>
  <si>
    <t>Assets</t>
  </si>
  <si>
    <t>Cash and cash equivalents</t>
  </si>
  <si>
    <t>Trade and other receivables</t>
  </si>
  <si>
    <t>Tax receivables</t>
  </si>
  <si>
    <t>Other assets</t>
  </si>
  <si>
    <t>Current Assets</t>
  </si>
  <si>
    <t>Total current assets</t>
  </si>
  <si>
    <t>Non-current assets</t>
  </si>
  <si>
    <t>Property, plant &amp; equipment</t>
  </si>
  <si>
    <t>Intangible assets</t>
  </si>
  <si>
    <t>Deferred tax assets</t>
  </si>
  <si>
    <t>Total non-current assets</t>
  </si>
  <si>
    <t>Liabilities</t>
  </si>
  <si>
    <t>Current Liabilities</t>
  </si>
  <si>
    <t>Tax liabilities</t>
  </si>
  <si>
    <t>Provisions</t>
  </si>
  <si>
    <t>Deferred revenue</t>
  </si>
  <si>
    <t>Total current liabilities</t>
  </si>
  <si>
    <t>Non-current liabilities</t>
  </si>
  <si>
    <t>Deferred tax liability</t>
  </si>
  <si>
    <t>Other liabilities</t>
  </si>
  <si>
    <t>Total non-current liabilities</t>
  </si>
  <si>
    <t>Total Liabilities</t>
  </si>
  <si>
    <t>Total Assets</t>
  </si>
  <si>
    <t xml:space="preserve">Contributed equity </t>
  </si>
  <si>
    <t>Reserves</t>
  </si>
  <si>
    <t>Retained profits/(accumulated losses)</t>
  </si>
  <si>
    <t xml:space="preserve">Net Assets </t>
  </si>
  <si>
    <t xml:space="preserve">Total equity </t>
  </si>
  <si>
    <t>Equity</t>
  </si>
  <si>
    <t>Inventories</t>
  </si>
  <si>
    <t>Income Statement - Check Sums</t>
  </si>
  <si>
    <t>Balance Sheet - Check Sums</t>
  </si>
  <si>
    <t>Total Revenue</t>
  </si>
  <si>
    <t>Total Expenses</t>
  </si>
  <si>
    <t>Difference</t>
  </si>
  <si>
    <t>Profit before tax</t>
  </si>
  <si>
    <t>Assets-liabilities=equity</t>
  </si>
  <si>
    <t>Total Revenue less expenses = profit before tax</t>
  </si>
  <si>
    <t>Profit before tax plus tax expense = profit after tax</t>
  </si>
  <si>
    <t>Profit after tax</t>
  </si>
  <si>
    <t>Sales Revenue</t>
  </si>
  <si>
    <t>Interest Income</t>
  </si>
  <si>
    <t>O</t>
  </si>
  <si>
    <t>F</t>
  </si>
  <si>
    <t>split</t>
  </si>
  <si>
    <t>N/A</t>
  </si>
  <si>
    <t>Finance costs - Interest &amp; finance charges paid/payable</t>
  </si>
  <si>
    <t>Finance costs - Unwinding of the discount on provisions</t>
  </si>
  <si>
    <t xml:space="preserve">Other expenses </t>
  </si>
  <si>
    <t>Provisions - Employee Benefits</t>
  </si>
  <si>
    <t xml:space="preserve">Provisions - Contingent consideration </t>
  </si>
  <si>
    <t xml:space="preserve">PLEASE NOTE: </t>
  </si>
  <si>
    <t>I have split the provisions into Employee benefits and Contingent consideration for Current Liabilities.</t>
  </si>
  <si>
    <t xml:space="preserve">I have allocated employee beenfits as operations and contingent consideration to financial </t>
  </si>
  <si>
    <t xml:space="preserve">Provisions: </t>
  </si>
  <si>
    <t>Borrowings</t>
  </si>
  <si>
    <t xml:space="preserve">Trade and other payables </t>
  </si>
  <si>
    <t>Other Liabilities: Other payables represents lease incentives in relations to operating leases. Therefore I have allocated to operating.</t>
  </si>
  <si>
    <t>Operating Revenue</t>
  </si>
  <si>
    <t>Total Operating Revenue</t>
  </si>
  <si>
    <t>Operating Expenses</t>
  </si>
  <si>
    <t>Total Operating Expenses</t>
  </si>
  <si>
    <t>Operating Profit before Income Tax</t>
  </si>
  <si>
    <t>Tax Expense</t>
  </si>
  <si>
    <t>Tax Reported</t>
  </si>
  <si>
    <t>Tax benefit/expense</t>
  </si>
  <si>
    <t>Total tax expense</t>
  </si>
  <si>
    <t>Operating Comprehensive Income</t>
  </si>
  <si>
    <t>Total Other Operating Comprehensive Income</t>
  </si>
  <si>
    <t>Comprehensive Operating Income after Tax (OI)</t>
  </si>
  <si>
    <t>Total NFI/NFE before Fiancial Comprehensive Income</t>
  </si>
  <si>
    <t xml:space="preserve">Financial Comprehensive Income </t>
  </si>
  <si>
    <t>Total Financial Comprehensive Income</t>
  </si>
  <si>
    <t>Net Financial Income/Expense after Tax (NFI/NFE)</t>
  </si>
  <si>
    <t>Comprehensive Net Profit after Tax (CI)</t>
  </si>
  <si>
    <t>Net Financial Expenses</t>
  </si>
  <si>
    <t>NFE before tax</t>
  </si>
  <si>
    <t xml:space="preserve">Operating Assets </t>
  </si>
  <si>
    <t>Total Operating assets (OA)</t>
  </si>
  <si>
    <t>Operating Liabilties</t>
  </si>
  <si>
    <t>Provisions - Operating</t>
  </si>
  <si>
    <t>Total Operating Liabilities (OL)</t>
  </si>
  <si>
    <t>Net Operating Assets (NOA)</t>
  </si>
  <si>
    <t>Financial Assets (FA)</t>
  </si>
  <si>
    <t>Total Financial Assets (FA)</t>
  </si>
  <si>
    <t>Financial Obligations (FO)</t>
  </si>
  <si>
    <t>Total Financial Obligations</t>
  </si>
  <si>
    <t>Net Financial Asset (NFA)</t>
  </si>
  <si>
    <t xml:space="preserve">Equity </t>
  </si>
  <si>
    <t xml:space="preserve">Total Equity </t>
  </si>
  <si>
    <t>Total Equity (NFA)</t>
  </si>
  <si>
    <t xml:space="preserve">Income Statement Checks </t>
  </si>
  <si>
    <t>Company Tax Rate</t>
  </si>
  <si>
    <t xml:space="preserve">OI + NFI/NFE = FS CI </t>
  </si>
  <si>
    <t xml:space="preserve">FS CI = RFS CI </t>
  </si>
  <si>
    <t>Balance Sheet Checks</t>
  </si>
  <si>
    <t>Check Assets = Liabilities + Equity</t>
  </si>
  <si>
    <t>NOA = Equity - NFA (NOA = NFO + Equity)</t>
  </si>
  <si>
    <t>OA + FA = FS Total Assets</t>
  </si>
  <si>
    <t>OL + FL = FS Total Liabilities</t>
  </si>
  <si>
    <t>Cash Allocation between Operating &amp; Finance</t>
  </si>
  <si>
    <t>Percentage of Revenue</t>
  </si>
  <si>
    <t>Allocated to Operating (Up to 1% as per study guide)</t>
  </si>
  <si>
    <t xml:space="preserve">Allocation to Financial </t>
  </si>
  <si>
    <t>Check Sums</t>
  </si>
  <si>
    <t>Number of issued ordinary shares</t>
  </si>
  <si>
    <t>Market price per share</t>
  </si>
  <si>
    <t xml:space="preserve">WACC </t>
  </si>
  <si>
    <t>Dividends Paid</t>
  </si>
  <si>
    <t>Revenue 2015</t>
  </si>
  <si>
    <t>4. You do not need to calculate these ratios for the first year (2016).</t>
  </si>
  <si>
    <t>Short-term borrowing rate (after tax)</t>
  </si>
  <si>
    <t>4 - See note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</si>
</sst>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quot;$&quot;#,##0.00"/>
    <numFmt numFmtId="44" formatCode="_-&quot;$&quot;* #,##0.00_-;\-&quot;$&quot;* #,##0.00_-;_-&quot;$&quot;* &quot;-&quot;??_-;_-@_-"/>
    <numFmt numFmtId="43" formatCode="_-* #,##0.00_-;\-* #,##0.00_-;_-* &quot;-&quot;??_-;_-@_-"/>
    <numFmt numFmtId="164" formatCode="0.0%"/>
    <numFmt numFmtId="165" formatCode="0.0"/>
    <numFmt numFmtId="166" formatCode="#,##0;\(#,##0\);0"/>
    <numFmt numFmtId="167" formatCode="#,##0.0;\(#,##0.0\);0.0"/>
    <numFmt numFmtId="168" formatCode="_-* #,##0_-;\-* #,##0_-;_-* &quot;-&quot;??_-;_-@_-"/>
    <numFmt numFmtId="169" formatCode="#,##0.00;\(#,##0.00\);0.00"/>
    <numFmt numFmtId="170" formatCode="_-* #,##0.000_-;\-* #,##0.000_-;_-* &quot;-&quot;??_-;_-@_-"/>
  </numFmts>
  <fonts count="34" x14ac:knownFonts="1">
    <font>
      <sz val="10"/>
      <name val="Trebuchet MS"/>
      <family val="2"/>
    </font>
    <font>
      <sz val="10"/>
      <name val="Arial"/>
      <family val="2"/>
    </font>
    <font>
      <sz val="8"/>
      <name val="Arial"/>
      <family val="2"/>
    </font>
    <font>
      <b/>
      <sz val="10"/>
      <name val="Arial"/>
      <family val="2"/>
    </font>
    <font>
      <b/>
      <vertAlign val="subscript"/>
      <sz val="10"/>
      <name val="Arial"/>
      <family val="2"/>
    </font>
    <font>
      <i/>
      <sz val="10"/>
      <color indexed="14"/>
      <name val="Arial"/>
      <family val="2"/>
    </font>
    <font>
      <sz val="9"/>
      <name val="Arial"/>
      <family val="2"/>
    </font>
    <font>
      <b/>
      <sz val="12"/>
      <name val="Verdana"/>
      <family val="2"/>
    </font>
    <font>
      <sz val="10"/>
      <name val="Verdana"/>
      <family val="2"/>
    </font>
    <font>
      <b/>
      <sz val="11"/>
      <name val="Verdana"/>
      <family val="2"/>
    </font>
    <font>
      <sz val="10"/>
      <name val="Trebuchet MS"/>
      <family val="2"/>
    </font>
    <font>
      <sz val="8"/>
      <name val="Verdana"/>
      <family val="2"/>
    </font>
    <font>
      <sz val="8"/>
      <name val="Trebuchet MS"/>
      <family val="2"/>
    </font>
    <font>
      <sz val="8"/>
      <color indexed="81"/>
      <name val="Trebuchet MS"/>
      <family val="2"/>
    </font>
    <font>
      <b/>
      <sz val="10"/>
      <name val="Trebuchet MS"/>
      <family val="2"/>
    </font>
    <font>
      <b/>
      <sz val="10"/>
      <color indexed="48"/>
      <name val="Trebuchet MS"/>
      <family val="2"/>
    </font>
    <font>
      <b/>
      <sz val="12"/>
      <color indexed="8"/>
      <name val="Verdana"/>
      <family val="2"/>
    </font>
    <font>
      <sz val="10"/>
      <color indexed="8"/>
      <name val="Verdana"/>
      <family val="2"/>
    </font>
    <font>
      <b/>
      <sz val="11"/>
      <color indexed="8"/>
      <name val="Verdana"/>
      <family val="2"/>
    </font>
    <font>
      <sz val="10"/>
      <color indexed="40"/>
      <name val="Trebuchet MS"/>
      <family val="2"/>
    </font>
    <font>
      <sz val="10"/>
      <name val="Trebuchet MS"/>
      <family val="2"/>
    </font>
    <font>
      <sz val="9"/>
      <color indexed="81"/>
      <name val="Tahoma"/>
      <family val="2"/>
    </font>
    <font>
      <sz val="9"/>
      <name val="Trebuchet MS"/>
      <family val="2"/>
    </font>
    <font>
      <sz val="10"/>
      <name val="Trebuchet MS"/>
      <family val="2"/>
    </font>
    <font>
      <sz val="8"/>
      <color indexed="81"/>
      <name val="Tahoma"/>
      <family val="2"/>
    </font>
    <font>
      <b/>
      <sz val="8"/>
      <color indexed="81"/>
      <name val="Tahoma"/>
      <family val="2"/>
    </font>
    <font>
      <b/>
      <sz val="9"/>
      <color indexed="81"/>
      <name val="Tahoma"/>
      <family val="2"/>
    </font>
    <font>
      <vertAlign val="superscript"/>
      <sz val="10"/>
      <name val="Trebuchet MS"/>
      <family val="2"/>
    </font>
    <font>
      <i/>
      <sz val="10"/>
      <name val="Trebuchet MS"/>
    </font>
    <font>
      <b/>
      <u/>
      <sz val="10"/>
      <name val="Trebuchet MS"/>
    </font>
    <font>
      <b/>
      <i/>
      <sz val="10"/>
      <name val="Trebuchet MS"/>
    </font>
    <font>
      <u/>
      <sz val="10"/>
      <color theme="10"/>
      <name val="Trebuchet MS"/>
      <family val="2"/>
    </font>
    <font>
      <u/>
      <sz val="10"/>
      <color theme="11"/>
      <name val="Trebuchet MS"/>
      <family val="2"/>
    </font>
    <font>
      <sz val="10"/>
      <color theme="1"/>
      <name val="Arial"/>
      <family val="2"/>
    </font>
  </fonts>
  <fills count="1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41"/>
        <bgColor indexed="44"/>
      </patternFill>
    </fill>
    <fill>
      <patternFill patternType="solid">
        <fgColor indexed="41"/>
        <bgColor indexed="64"/>
      </patternFill>
    </fill>
    <fill>
      <patternFill patternType="solid">
        <fgColor indexed="44"/>
        <bgColor indexed="64"/>
      </patternFill>
    </fill>
    <fill>
      <patternFill patternType="mediumGray">
        <fgColor indexed="44"/>
        <bgColor indexed="9"/>
      </patternFill>
    </fill>
    <fill>
      <patternFill patternType="solid">
        <fgColor theme="8" tint="0.59999389629810485"/>
        <bgColor indexed="64"/>
      </patternFill>
    </fill>
    <fill>
      <patternFill patternType="solid">
        <fgColor theme="4" tint="0.79998168889431442"/>
        <bgColor indexed="44"/>
      </patternFill>
    </fill>
    <fill>
      <patternFill patternType="solid">
        <fgColor theme="0"/>
        <bgColor indexed="64"/>
      </patternFill>
    </fill>
    <fill>
      <patternFill patternType="mediumGray">
        <fgColor indexed="44"/>
        <bgColor theme="8" tint="0.59999389629810485"/>
      </patternFill>
    </fill>
    <fill>
      <patternFill patternType="solid">
        <fgColor theme="8" tint="0.79998168889431442"/>
        <bgColor indexed="44"/>
      </patternFill>
    </fill>
    <fill>
      <patternFill patternType="solid">
        <fgColor theme="8" tint="0.79998168889431442"/>
        <bgColor indexed="64"/>
      </patternFill>
    </fill>
    <fill>
      <patternFill patternType="solid">
        <fgColor theme="0"/>
        <bgColor indexed="44"/>
      </patternFill>
    </fill>
    <fill>
      <patternFill patternType="solid">
        <fgColor theme="7" tint="0.79998168889431442"/>
        <bgColor indexed="64"/>
      </patternFill>
    </fill>
    <fill>
      <patternFill patternType="solid">
        <fgColor theme="1"/>
        <bgColor indexed="64"/>
      </patternFill>
    </fill>
    <fill>
      <patternFill patternType="solid">
        <fgColor theme="7" tint="0.79998168889431442"/>
        <bgColor indexed="44"/>
      </patternFill>
    </fill>
    <fill>
      <patternFill patternType="solid">
        <fgColor rgb="FFDE00FF"/>
        <bgColor indexed="64"/>
      </patternFill>
    </fill>
  </fills>
  <borders count="15">
    <border>
      <left/>
      <right/>
      <top/>
      <bottom/>
      <diagonal/>
    </border>
    <border>
      <left/>
      <right/>
      <top style="thin">
        <color auto="1"/>
      </top>
      <bottom style="medium">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medium">
        <color auto="1"/>
      </top>
      <bottom style="thin">
        <color auto="1"/>
      </bottom>
      <diagonal/>
    </border>
    <border>
      <left/>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style="medium">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thin">
        <color auto="1"/>
      </bottom>
      <diagonal/>
    </border>
    <border>
      <left/>
      <right/>
      <top style="thin">
        <color auto="1"/>
      </top>
      <bottom style="double">
        <color auto="1"/>
      </bottom>
      <diagonal/>
    </border>
  </borders>
  <cellStyleXfs count="22">
    <xf numFmtId="0" fontId="0" fillId="0" borderId="0"/>
    <xf numFmtId="0" fontId="1" fillId="0" borderId="0" applyFont="0" applyFill="0" applyBorder="0" applyAlignment="0" applyProtection="0"/>
    <xf numFmtId="44" fontId="1" fillId="0" borderId="0" applyFont="0" applyFill="0" applyBorder="0" applyAlignment="0" applyProtection="0"/>
    <xf numFmtId="0" fontId="1"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cellStyleXfs>
  <cellXfs count="274">
    <xf numFmtId="0" fontId="0" fillId="0" borderId="0" xfId="0"/>
    <xf numFmtId="0" fontId="0" fillId="0" borderId="0" xfId="0" applyBorder="1"/>
    <xf numFmtId="0" fontId="0" fillId="0" borderId="0" xfId="0" applyFill="1"/>
    <xf numFmtId="0" fontId="5" fillId="0" borderId="0" xfId="3" applyFont="1" applyBorder="1"/>
    <xf numFmtId="0" fontId="1" fillId="0" borderId="0" xfId="3" applyFont="1" applyBorder="1"/>
    <xf numFmtId="0" fontId="1" fillId="0" borderId="0" xfId="3" applyFont="1" applyFill="1" applyBorder="1"/>
    <xf numFmtId="0" fontId="0" fillId="0" borderId="0" xfId="0" applyAlignment="1">
      <alignment horizontal="right"/>
    </xf>
    <xf numFmtId="0" fontId="10" fillId="2" borderId="0" xfId="0" applyFont="1" applyFill="1" applyBorder="1"/>
    <xf numFmtId="2" fontId="0" fillId="2" borderId="0" xfId="0" applyNumberFormat="1" applyFill="1" applyBorder="1"/>
    <xf numFmtId="165" fontId="0" fillId="2" borderId="0" xfId="0" applyNumberFormat="1" applyFill="1" applyBorder="1"/>
    <xf numFmtId="0" fontId="0" fillId="2" borderId="0" xfId="0" applyFill="1" applyBorder="1"/>
    <xf numFmtId="0" fontId="12" fillId="2" borderId="0" xfId="0" applyFont="1" applyFill="1"/>
    <xf numFmtId="0" fontId="0" fillId="2" borderId="0" xfId="0" applyFill="1"/>
    <xf numFmtId="1" fontId="8" fillId="2" borderId="0" xfId="0" applyNumberFormat="1" applyFont="1" applyFill="1" applyBorder="1" applyAlignment="1">
      <alignment horizontal="right"/>
    </xf>
    <xf numFmtId="1" fontId="11" fillId="2" borderId="1" xfId="0" applyNumberFormat="1" applyFont="1" applyFill="1" applyBorder="1" applyAlignment="1">
      <alignment horizontal="right"/>
    </xf>
    <xf numFmtId="0" fontId="3" fillId="2" borderId="0" xfId="0" applyFont="1" applyFill="1" applyAlignment="1">
      <alignment horizontal="right"/>
    </xf>
    <xf numFmtId="0" fontId="6" fillId="2" borderId="0" xfId="0" applyFont="1" applyFill="1"/>
    <xf numFmtId="0" fontId="0" fillId="2" borderId="0" xfId="0" applyFill="1" applyAlignment="1">
      <alignment horizontal="left"/>
    </xf>
    <xf numFmtId="0" fontId="0" fillId="0" borderId="0" xfId="0" applyFill="1" applyBorder="1"/>
    <xf numFmtId="4" fontId="0" fillId="2" borderId="0" xfId="0" applyNumberFormat="1" applyFill="1" applyBorder="1"/>
    <xf numFmtId="4" fontId="10" fillId="2" borderId="0" xfId="0" applyNumberFormat="1" applyFont="1" applyFill="1" applyBorder="1"/>
    <xf numFmtId="0" fontId="0" fillId="3" borderId="0" xfId="0" applyFill="1" applyBorder="1"/>
    <xf numFmtId="0" fontId="10" fillId="2" borderId="0" xfId="0" applyFont="1" applyFill="1" applyBorder="1" applyAlignment="1">
      <alignment horizontal="right"/>
    </xf>
    <xf numFmtId="166" fontId="0" fillId="2" borderId="0" xfId="0" applyNumberFormat="1" applyFill="1" applyBorder="1"/>
    <xf numFmtId="166" fontId="11" fillId="2" borderId="0" xfId="0" applyNumberFormat="1" applyFont="1" applyFill="1" applyBorder="1" applyAlignment="1">
      <alignment horizontal="right"/>
    </xf>
    <xf numFmtId="0" fontId="0" fillId="0" borderId="2" xfId="0" applyBorder="1"/>
    <xf numFmtId="0" fontId="0" fillId="0" borderId="3" xfId="0" applyBorder="1"/>
    <xf numFmtId="0" fontId="14" fillId="3" borderId="0" xfId="0" applyFont="1" applyFill="1" applyBorder="1"/>
    <xf numFmtId="2" fontId="14" fillId="3" borderId="1" xfId="0" applyNumberFormat="1" applyFont="1" applyFill="1" applyBorder="1"/>
    <xf numFmtId="0" fontId="0" fillId="4" borderId="0" xfId="0" applyFill="1" applyBorder="1"/>
    <xf numFmtId="0" fontId="20" fillId="2" borderId="0" xfId="0" applyFont="1" applyFill="1" applyAlignment="1">
      <alignment horizontal="right"/>
    </xf>
    <xf numFmtId="0" fontId="20" fillId="2" borderId="0" xfId="0" applyFont="1" applyFill="1"/>
    <xf numFmtId="0" fontId="0" fillId="0" borderId="0" xfId="0" applyBorder="1" applyAlignment="1"/>
    <xf numFmtId="0" fontId="0" fillId="0" borderId="2" xfId="0" applyBorder="1" applyAlignment="1"/>
    <xf numFmtId="166" fontId="0" fillId="2" borderId="0" xfId="0" applyNumberFormat="1" applyFill="1" applyBorder="1" applyAlignment="1">
      <alignment horizontal="right"/>
    </xf>
    <xf numFmtId="0" fontId="0" fillId="2" borderId="0" xfId="0" applyFill="1" applyAlignment="1">
      <alignment horizontal="right"/>
    </xf>
    <xf numFmtId="0" fontId="0" fillId="0" borderId="0" xfId="0" applyBorder="1" applyAlignment="1">
      <alignment horizontal="right"/>
    </xf>
    <xf numFmtId="0" fontId="5" fillId="0" borderId="0" xfId="3" applyFont="1" applyFill="1" applyBorder="1"/>
    <xf numFmtId="166" fontId="0" fillId="3" borderId="0" xfId="0" applyNumberFormat="1" applyFill="1" applyBorder="1"/>
    <xf numFmtId="0" fontId="1" fillId="2" borderId="0" xfId="3" applyFont="1" applyFill="1" applyBorder="1"/>
    <xf numFmtId="1" fontId="8" fillId="2" borderId="4" xfId="0" applyNumberFormat="1" applyFont="1" applyFill="1" applyBorder="1" applyAlignment="1">
      <alignment horizontal="right"/>
    </xf>
    <xf numFmtId="0" fontId="0" fillId="2" borderId="0" xfId="0" applyFill="1" applyBorder="1" applyAlignment="1">
      <alignment horizontal="right"/>
    </xf>
    <xf numFmtId="166" fontId="0" fillId="3" borderId="0" xfId="0" applyNumberFormat="1" applyFill="1" applyBorder="1" applyAlignment="1">
      <alignment horizontal="right"/>
    </xf>
    <xf numFmtId="0" fontId="1" fillId="2" borderId="0" xfId="3" applyFont="1" applyFill="1" applyBorder="1" applyAlignment="1">
      <alignment horizontal="right"/>
    </xf>
    <xf numFmtId="0" fontId="1" fillId="0" borderId="0" xfId="3" applyFont="1" applyBorder="1" applyAlignment="1">
      <alignment horizontal="right"/>
    </xf>
    <xf numFmtId="0" fontId="15" fillId="3" borderId="4" xfId="0" applyFont="1" applyFill="1" applyBorder="1"/>
    <xf numFmtId="3" fontId="0" fillId="3" borderId="4" xfId="0" applyNumberFormat="1" applyFill="1" applyBorder="1" applyAlignment="1">
      <alignment horizontal="right"/>
    </xf>
    <xf numFmtId="3" fontId="0" fillId="3" borderId="4" xfId="0" applyNumberFormat="1" applyFill="1" applyBorder="1"/>
    <xf numFmtId="1" fontId="8" fillId="2" borderId="5" xfId="0" applyNumberFormat="1" applyFont="1" applyFill="1" applyBorder="1" applyAlignment="1">
      <alignment horizontal="right"/>
    </xf>
    <xf numFmtId="0" fontId="14" fillId="2" borderId="0" xfId="0" applyFont="1" applyFill="1" applyBorder="1" applyAlignment="1">
      <alignment horizontal="right"/>
    </xf>
    <xf numFmtId="0" fontId="20" fillId="0" borderId="0" xfId="0" applyFont="1" applyBorder="1"/>
    <xf numFmtId="0" fontId="14" fillId="2" borderId="0" xfId="0" applyFont="1" applyFill="1" applyBorder="1"/>
    <xf numFmtId="0" fontId="12" fillId="2" borderId="0" xfId="0" applyFont="1" applyFill="1" applyBorder="1"/>
    <xf numFmtId="164" fontId="20" fillId="2" borderId="0" xfId="0" applyNumberFormat="1" applyFont="1" applyFill="1" applyAlignment="1">
      <alignment horizontal="right"/>
    </xf>
    <xf numFmtId="164" fontId="10" fillId="2" borderId="0" xfId="0" applyNumberFormat="1" applyFont="1" applyFill="1" applyBorder="1" applyAlignment="1">
      <alignment horizontal="right"/>
    </xf>
    <xf numFmtId="0" fontId="10" fillId="2" borderId="0" xfId="0" applyFont="1" applyFill="1"/>
    <xf numFmtId="2" fontId="10" fillId="2" borderId="0" xfId="0" applyNumberFormat="1" applyFont="1" applyFill="1" applyBorder="1" applyAlignment="1">
      <alignment horizontal="right"/>
    </xf>
    <xf numFmtId="1" fontId="22" fillId="2" borderId="0" xfId="0" applyNumberFormat="1" applyFont="1" applyFill="1" applyBorder="1" applyAlignment="1">
      <alignment horizontal="right"/>
    </xf>
    <xf numFmtId="0" fontId="23" fillId="2" borderId="0" xfId="0" applyFont="1" applyFill="1"/>
    <xf numFmtId="0" fontId="10" fillId="5" borderId="0" xfId="0" applyFont="1" applyFill="1" applyBorder="1"/>
    <xf numFmtId="0" fontId="20" fillId="5" borderId="0" xfId="0" applyFont="1" applyFill="1" applyBorder="1"/>
    <xf numFmtId="164" fontId="10" fillId="5" borderId="0" xfId="0" applyNumberFormat="1" applyFont="1" applyFill="1" applyBorder="1" applyAlignment="1">
      <alignment horizontal="right"/>
    </xf>
    <xf numFmtId="0" fontId="14" fillId="5" borderId="0" xfId="0" applyFont="1" applyFill="1" applyBorder="1"/>
    <xf numFmtId="2" fontId="10" fillId="5" borderId="0" xfId="0" applyNumberFormat="1" applyFont="1" applyFill="1" applyBorder="1" applyAlignment="1">
      <alignment horizontal="right"/>
    </xf>
    <xf numFmtId="0" fontId="12" fillId="5" borderId="0" xfId="0" applyFont="1" applyFill="1" applyBorder="1"/>
    <xf numFmtId="2" fontId="7" fillId="3" borderId="0" xfId="0" applyNumberFormat="1" applyFont="1" applyFill="1" applyBorder="1" applyAlignment="1"/>
    <xf numFmtId="0" fontId="0" fillId="2" borderId="0" xfId="0" applyFill="1" applyBorder="1" applyAlignment="1"/>
    <xf numFmtId="0" fontId="10" fillId="2" borderId="0" xfId="0" applyFont="1" applyFill="1" applyAlignment="1"/>
    <xf numFmtId="0" fontId="20" fillId="5" borderId="1" xfId="0" applyFont="1" applyFill="1" applyBorder="1"/>
    <xf numFmtId="0" fontId="20" fillId="5" borderId="1" xfId="0" applyFont="1" applyFill="1" applyBorder="1" applyAlignment="1">
      <alignment horizontal="right"/>
    </xf>
    <xf numFmtId="0" fontId="19" fillId="5" borderId="1" xfId="0" applyFont="1" applyFill="1" applyBorder="1" applyAlignment="1">
      <alignment horizontal="right"/>
    </xf>
    <xf numFmtId="0" fontId="10" fillId="5" borderId="6" xfId="0" applyFont="1" applyFill="1" applyBorder="1" applyAlignment="1"/>
    <xf numFmtId="164" fontId="20" fillId="5" borderId="6" xfId="0" applyNumberFormat="1" applyFont="1" applyFill="1" applyBorder="1" applyAlignment="1">
      <alignment horizontal="right"/>
    </xf>
    <xf numFmtId="0" fontId="0" fillId="5" borderId="6" xfId="0" applyFill="1" applyBorder="1" applyAlignment="1">
      <alignment horizontal="right"/>
    </xf>
    <xf numFmtId="0" fontId="20" fillId="5" borderId="6" xfId="0" applyFont="1" applyFill="1" applyBorder="1" applyAlignment="1">
      <alignment horizontal="right"/>
    </xf>
    <xf numFmtId="0" fontId="20" fillId="0" borderId="0" xfId="0" applyFont="1" applyBorder="1" applyAlignment="1">
      <alignment horizontal="right"/>
    </xf>
    <xf numFmtId="0" fontId="20" fillId="0" borderId="0" xfId="0" applyFont="1" applyBorder="1" applyAlignment="1">
      <alignment horizontal="left"/>
    </xf>
    <xf numFmtId="0" fontId="20" fillId="0" borderId="0" xfId="0" applyFont="1" applyFill="1" applyBorder="1" applyAlignment="1">
      <alignment horizontal="right"/>
    </xf>
    <xf numFmtId="2" fontId="0" fillId="0" borderId="0" xfId="0" applyNumberFormat="1" applyFill="1" applyBorder="1"/>
    <xf numFmtId="0" fontId="1" fillId="0" borderId="2" xfId="3" applyFont="1" applyBorder="1"/>
    <xf numFmtId="7" fontId="14" fillId="3" borderId="1" xfId="2" applyNumberFormat="1" applyFont="1" applyFill="1" applyBorder="1" applyAlignment="1">
      <alignment horizontal="right"/>
    </xf>
    <xf numFmtId="4" fontId="10" fillId="2" borderId="0" xfId="0" applyNumberFormat="1" applyFont="1" applyFill="1" applyBorder="1" applyAlignment="1">
      <alignment horizontal="right"/>
    </xf>
    <xf numFmtId="1" fontId="8" fillId="2" borderId="7" xfId="0" applyNumberFormat="1" applyFont="1" applyFill="1" applyBorder="1" applyAlignment="1">
      <alignment horizontal="right"/>
    </xf>
    <xf numFmtId="164" fontId="10" fillId="5" borderId="8" xfId="0" applyNumberFormat="1" applyFont="1" applyFill="1" applyBorder="1" applyAlignment="1">
      <alignment horizontal="right"/>
    </xf>
    <xf numFmtId="164" fontId="10" fillId="2" borderId="8" xfId="0" applyNumberFormat="1" applyFont="1" applyFill="1" applyBorder="1" applyAlignment="1">
      <alignment horizontal="right"/>
    </xf>
    <xf numFmtId="2" fontId="10" fillId="5" borderId="8" xfId="0" applyNumberFormat="1" applyFont="1" applyFill="1" applyBorder="1" applyAlignment="1">
      <alignment horizontal="right"/>
    </xf>
    <xf numFmtId="0" fontId="10" fillId="2" borderId="8" xfId="0" applyFont="1" applyFill="1" applyBorder="1" applyAlignment="1">
      <alignment horizontal="right"/>
    </xf>
    <xf numFmtId="1" fontId="22" fillId="2" borderId="8" xfId="0" applyNumberFormat="1" applyFont="1" applyFill="1" applyBorder="1" applyAlignment="1">
      <alignment horizontal="right"/>
    </xf>
    <xf numFmtId="1" fontId="11" fillId="2" borderId="1" xfId="0" quotePrefix="1" applyNumberFormat="1" applyFont="1" applyFill="1" applyBorder="1" applyAlignment="1">
      <alignment horizontal="right"/>
    </xf>
    <xf numFmtId="0" fontId="0" fillId="9" borderId="0" xfId="0" applyFill="1" applyBorder="1"/>
    <xf numFmtId="0" fontId="10" fillId="10" borderId="0" xfId="0" applyFont="1" applyFill="1" applyBorder="1"/>
    <xf numFmtId="166" fontId="0" fillId="10" borderId="0" xfId="0" applyNumberFormat="1" applyFill="1" applyBorder="1" applyAlignment="1">
      <alignment horizontal="right"/>
    </xf>
    <xf numFmtId="166" fontId="0" fillId="10" borderId="0" xfId="0" applyNumberFormat="1" applyFill="1" applyBorder="1"/>
    <xf numFmtId="0" fontId="0" fillId="12" borderId="0" xfId="0" applyFill="1" applyBorder="1"/>
    <xf numFmtId="166" fontId="0" fillId="12" borderId="0" xfId="0" applyNumberFormat="1" applyFill="1" applyBorder="1"/>
    <xf numFmtId="166" fontId="0" fillId="12" borderId="0" xfId="0" applyNumberFormat="1" applyFill="1" applyBorder="1" applyAlignment="1">
      <alignment horizontal="right"/>
    </xf>
    <xf numFmtId="0" fontId="0" fillId="2" borderId="0" xfId="0" applyFont="1" applyFill="1" applyBorder="1"/>
    <xf numFmtId="0" fontId="12" fillId="2" borderId="8" xfId="0" applyFont="1" applyFill="1" applyBorder="1" applyAlignment="1">
      <alignment horizontal="right"/>
    </xf>
    <xf numFmtId="0" fontId="12" fillId="2" borderId="0" xfId="0" applyFont="1" applyFill="1" applyBorder="1" applyAlignment="1">
      <alignment horizontal="right"/>
    </xf>
    <xf numFmtId="4" fontId="0" fillId="12" borderId="0" xfId="0" applyNumberFormat="1" applyFill="1" applyBorder="1"/>
    <xf numFmtId="4" fontId="10" fillId="12" borderId="0" xfId="0" applyNumberFormat="1" applyFont="1" applyFill="1" applyBorder="1"/>
    <xf numFmtId="4" fontId="10" fillId="9" borderId="0" xfId="0" applyNumberFormat="1" applyFont="1" applyFill="1" applyBorder="1" applyAlignment="1">
      <alignment horizontal="right"/>
    </xf>
    <xf numFmtId="4" fontId="0" fillId="9" borderId="0" xfId="0" applyNumberFormat="1" applyFill="1" applyBorder="1"/>
    <xf numFmtId="4" fontId="10" fillId="12" borderId="0" xfId="0" applyNumberFormat="1" applyFont="1" applyFill="1" applyBorder="1" applyAlignment="1">
      <alignment horizontal="right"/>
    </xf>
    <xf numFmtId="0" fontId="0" fillId="0" borderId="2" xfId="0" applyBorder="1" applyAlignment="1">
      <alignment wrapText="1"/>
    </xf>
    <xf numFmtId="0" fontId="0" fillId="0" borderId="0" xfId="0" applyBorder="1" applyAlignment="1">
      <alignment wrapText="1"/>
    </xf>
    <xf numFmtId="0" fontId="0" fillId="13" borderId="0" xfId="0" applyFill="1" applyBorder="1"/>
    <xf numFmtId="166" fontId="0" fillId="13" borderId="0" xfId="0" applyNumberFormat="1" applyFill="1" applyBorder="1"/>
    <xf numFmtId="0" fontId="0" fillId="14" borderId="0" xfId="0" applyFill="1" applyBorder="1"/>
    <xf numFmtId="166" fontId="0" fillId="14" borderId="0" xfId="0" applyNumberFormat="1" applyFill="1" applyBorder="1"/>
    <xf numFmtId="0" fontId="0" fillId="10" borderId="10" xfId="3" applyFont="1" applyFill="1" applyBorder="1"/>
    <xf numFmtId="0" fontId="1" fillId="10" borderId="10" xfId="3" applyFont="1" applyFill="1" applyBorder="1"/>
    <xf numFmtId="0" fontId="1" fillId="10" borderId="10" xfId="3" applyFont="1" applyFill="1" applyBorder="1" applyAlignment="1">
      <alignment horizontal="right"/>
    </xf>
    <xf numFmtId="0" fontId="0" fillId="2" borderId="3" xfId="0" applyFill="1" applyBorder="1"/>
    <xf numFmtId="0" fontId="1" fillId="10" borderId="0" xfId="3" applyFont="1" applyFill="1" applyBorder="1"/>
    <xf numFmtId="0" fontId="1" fillId="10" borderId="0" xfId="3" applyFont="1" applyFill="1" applyBorder="1" applyAlignment="1">
      <alignment horizontal="right"/>
    </xf>
    <xf numFmtId="0" fontId="0" fillId="13" borderId="0" xfId="3" applyFont="1" applyFill="1" applyBorder="1"/>
    <xf numFmtId="0" fontId="10" fillId="13" borderId="0" xfId="3" applyFont="1" applyFill="1" applyBorder="1"/>
    <xf numFmtId="0" fontId="0" fillId="10" borderId="0" xfId="3" applyFont="1" applyFill="1" applyBorder="1"/>
    <xf numFmtId="168" fontId="10" fillId="10" borderId="0" xfId="4" applyNumberFormat="1" applyFont="1" applyFill="1" applyBorder="1"/>
    <xf numFmtId="0" fontId="5" fillId="0" borderId="10" xfId="3" applyFont="1" applyBorder="1"/>
    <xf numFmtId="167" fontId="10" fillId="15" borderId="0" xfId="4" applyNumberFormat="1" applyFont="1" applyFill="1" applyBorder="1" applyAlignment="1">
      <alignment horizontal="right"/>
    </xf>
    <xf numFmtId="167" fontId="10" fillId="15" borderId="8" xfId="4" applyNumberFormat="1" applyFont="1" applyFill="1" applyBorder="1" applyAlignment="1">
      <alignment horizontal="right"/>
    </xf>
    <xf numFmtId="167" fontId="0" fillId="15" borderId="0" xfId="4" applyNumberFormat="1" applyFont="1" applyFill="1" applyBorder="1" applyAlignment="1">
      <alignment horizontal="right"/>
    </xf>
    <xf numFmtId="0" fontId="10" fillId="15" borderId="8" xfId="4" applyNumberFormat="1" applyFont="1" applyFill="1" applyBorder="1" applyAlignment="1">
      <alignment horizontal="right"/>
    </xf>
    <xf numFmtId="164" fontId="0" fillId="15" borderId="0" xfId="5" applyNumberFormat="1" applyFont="1" applyFill="1" applyBorder="1" applyAlignment="1">
      <alignment horizontal="right"/>
    </xf>
    <xf numFmtId="164" fontId="0" fillId="15" borderId="9" xfId="5" applyNumberFormat="1" applyFont="1" applyFill="1" applyBorder="1" applyAlignment="1">
      <alignment horizontal="right"/>
    </xf>
    <xf numFmtId="164" fontId="0" fillId="15" borderId="0" xfId="5" applyNumberFormat="1" applyFont="1" applyFill="1" applyAlignment="1">
      <alignment horizontal="right"/>
    </xf>
    <xf numFmtId="167" fontId="0" fillId="15" borderId="0" xfId="4" applyNumberFormat="1" applyFont="1" applyFill="1" applyBorder="1" applyAlignment="1" applyProtection="1">
      <alignment horizontal="right"/>
    </xf>
    <xf numFmtId="164" fontId="10" fillId="15" borderId="0" xfId="0" applyNumberFormat="1" applyFont="1" applyFill="1" applyBorder="1" applyAlignment="1">
      <alignment horizontal="right"/>
    </xf>
    <xf numFmtId="167" fontId="10" fillId="16" borderId="0" xfId="4" applyNumberFormat="1" applyFont="1" applyFill="1" applyBorder="1" applyAlignment="1">
      <alignment horizontal="right"/>
    </xf>
    <xf numFmtId="164" fontId="0" fillId="16" borderId="0" xfId="5" applyNumberFormat="1" applyFont="1" applyFill="1" applyAlignment="1">
      <alignment horizontal="right"/>
    </xf>
    <xf numFmtId="167" fontId="0" fillId="16" borderId="0" xfId="4" applyNumberFormat="1" applyFont="1" applyFill="1" applyBorder="1" applyAlignment="1">
      <alignment horizontal="right"/>
    </xf>
    <xf numFmtId="1" fontId="11" fillId="2" borderId="6" xfId="0" applyNumberFormat="1" applyFont="1" applyFill="1" applyBorder="1" applyAlignment="1">
      <alignment horizontal="right"/>
    </xf>
    <xf numFmtId="2" fontId="19" fillId="2" borderId="11" xfId="0" applyNumberFormat="1" applyFont="1" applyFill="1" applyBorder="1" applyAlignment="1">
      <alignment horizontal="right"/>
    </xf>
    <xf numFmtId="0" fontId="0" fillId="15" borderId="0" xfId="0" applyFill="1"/>
    <xf numFmtId="0" fontId="0" fillId="16" borderId="0" xfId="0" applyFill="1"/>
    <xf numFmtId="2" fontId="0" fillId="15" borderId="0" xfId="0" applyNumberFormat="1" applyFont="1" applyFill="1" applyBorder="1" applyAlignment="1">
      <alignment horizontal="right"/>
    </xf>
    <xf numFmtId="1" fontId="11" fillId="2" borderId="12" xfId="0" applyNumberFormat="1" applyFont="1" applyFill="1" applyBorder="1" applyAlignment="1">
      <alignment horizontal="right"/>
    </xf>
    <xf numFmtId="2" fontId="10" fillId="17" borderId="0" xfId="0" applyNumberFormat="1" applyFont="1" applyFill="1" applyBorder="1" applyAlignment="1">
      <alignment horizontal="right"/>
    </xf>
    <xf numFmtId="2" fontId="10" fillId="15" borderId="0" xfId="0" applyNumberFormat="1" applyFont="1" applyFill="1" applyBorder="1" applyAlignment="1">
      <alignment horizontal="right"/>
    </xf>
    <xf numFmtId="165" fontId="10" fillId="15" borderId="0" xfId="0" applyNumberFormat="1" applyFont="1" applyFill="1" applyBorder="1" applyAlignment="1">
      <alignment horizontal="right"/>
    </xf>
    <xf numFmtId="0" fontId="0" fillId="15" borderId="0" xfId="0" applyFill="1" applyBorder="1"/>
    <xf numFmtId="167" fontId="0" fillId="5" borderId="11" xfId="4" applyNumberFormat="1" applyFont="1" applyFill="1" applyBorder="1" applyAlignment="1">
      <alignment horizontal="right"/>
    </xf>
    <xf numFmtId="0" fontId="0" fillId="2" borderId="11" xfId="0" applyFill="1" applyBorder="1"/>
    <xf numFmtId="0" fontId="0" fillId="10" borderId="0" xfId="0" applyFont="1" applyFill="1" applyBorder="1"/>
    <xf numFmtId="0" fontId="14" fillId="12" borderId="0" xfId="0" applyFont="1" applyFill="1" applyBorder="1"/>
    <xf numFmtId="0" fontId="0" fillId="10" borderId="0" xfId="0" applyFill="1"/>
    <xf numFmtId="166" fontId="0" fillId="14" borderId="0" xfId="0" applyNumberFormat="1" applyFill="1" applyBorder="1" applyAlignment="1">
      <alignment horizontal="right"/>
    </xf>
    <xf numFmtId="0" fontId="14" fillId="14" borderId="0" xfId="0" applyFont="1" applyFill="1" applyBorder="1"/>
    <xf numFmtId="166" fontId="14" fillId="12" borderId="13" xfId="0" applyNumberFormat="1" applyFont="1" applyFill="1" applyBorder="1"/>
    <xf numFmtId="0" fontId="0" fillId="14" borderId="0" xfId="0" applyFont="1" applyFill="1" applyBorder="1"/>
    <xf numFmtId="166" fontId="14" fillId="14" borderId="13" xfId="0" applyNumberFormat="1" applyFont="1" applyFill="1" applyBorder="1"/>
    <xf numFmtId="169" fontId="0" fillId="14" borderId="0" xfId="0" applyNumberFormat="1" applyFont="1" applyFill="1" applyBorder="1" applyAlignment="1">
      <alignment horizontal="right"/>
    </xf>
    <xf numFmtId="169" fontId="0" fillId="12" borderId="0" xfId="0" applyNumberFormat="1" applyFont="1" applyFill="1" applyBorder="1" applyAlignment="1">
      <alignment horizontal="right"/>
    </xf>
    <xf numFmtId="166" fontId="0" fillId="10" borderId="4" xfId="0" applyNumberFormat="1" applyFill="1" applyBorder="1"/>
    <xf numFmtId="166" fontId="0" fillId="10" borderId="4" xfId="0" applyNumberFormat="1" applyFill="1" applyBorder="1" applyAlignment="1">
      <alignment horizontal="right"/>
    </xf>
    <xf numFmtId="166" fontId="14" fillId="12" borderId="0" xfId="0" applyNumberFormat="1" applyFont="1" applyFill="1" applyBorder="1"/>
    <xf numFmtId="0" fontId="0" fillId="12" borderId="0" xfId="0" applyFont="1" applyFill="1" applyBorder="1"/>
    <xf numFmtId="0" fontId="29" fillId="12" borderId="0" xfId="0" applyFont="1" applyFill="1" applyBorder="1"/>
    <xf numFmtId="166" fontId="14" fillId="12" borderId="0" xfId="0" applyNumberFormat="1" applyFont="1" applyFill="1" applyBorder="1" applyAlignment="1">
      <alignment horizontal="right"/>
    </xf>
    <xf numFmtId="166" fontId="0" fillId="0" borderId="0" xfId="0" applyNumberFormat="1" applyBorder="1"/>
    <xf numFmtId="166" fontId="0" fillId="0" borderId="13" xfId="0" applyNumberFormat="1" applyBorder="1"/>
    <xf numFmtId="0" fontId="14" fillId="0" borderId="2" xfId="0" applyFont="1" applyBorder="1"/>
    <xf numFmtId="166" fontId="14" fillId="14" borderId="0" xfId="0" applyNumberFormat="1" applyFont="1" applyFill="1" applyBorder="1"/>
    <xf numFmtId="0" fontId="0" fillId="10" borderId="0" xfId="0" applyFill="1" applyBorder="1"/>
    <xf numFmtId="166" fontId="0" fillId="14" borderId="4" xfId="0" applyNumberFormat="1" applyFill="1" applyBorder="1"/>
    <xf numFmtId="166" fontId="0" fillId="12" borderId="0" xfId="0" applyNumberFormat="1" applyFont="1" applyFill="1" applyBorder="1"/>
    <xf numFmtId="166" fontId="0" fillId="12" borderId="0" xfId="0" applyNumberFormat="1" applyFont="1" applyFill="1" applyBorder="1" applyAlignment="1">
      <alignment horizontal="right"/>
    </xf>
    <xf numFmtId="166" fontId="0" fillId="14" borderId="0" xfId="0" applyNumberFormat="1" applyFont="1" applyFill="1" applyBorder="1"/>
    <xf numFmtId="166" fontId="0" fillId="14" borderId="0" xfId="0" applyNumberFormat="1" applyFont="1" applyFill="1" applyBorder="1" applyAlignment="1">
      <alignment horizontal="right"/>
    </xf>
    <xf numFmtId="166" fontId="14" fillId="12" borderId="13" xfId="0" applyNumberFormat="1" applyFont="1" applyFill="1" applyBorder="1" applyAlignment="1">
      <alignment horizontal="right"/>
    </xf>
    <xf numFmtId="166" fontId="0" fillId="12" borderId="4" xfId="0" applyNumberFormat="1" applyFont="1" applyFill="1" applyBorder="1"/>
    <xf numFmtId="166" fontId="0" fillId="12" borderId="4" xfId="0" applyNumberFormat="1" applyFont="1" applyFill="1" applyBorder="1" applyAlignment="1">
      <alignment horizontal="right"/>
    </xf>
    <xf numFmtId="169" fontId="0" fillId="12" borderId="0" xfId="0" applyNumberFormat="1" applyFont="1" applyFill="1" applyBorder="1"/>
    <xf numFmtId="166" fontId="0" fillId="14" borderId="4" xfId="0" applyNumberFormat="1" applyFill="1" applyBorder="1" applyAlignment="1">
      <alignment horizontal="right"/>
    </xf>
    <xf numFmtId="0" fontId="14" fillId="10" borderId="0" xfId="0" applyFont="1" applyFill="1" applyBorder="1"/>
    <xf numFmtId="166" fontId="14" fillId="10" borderId="0" xfId="0" applyNumberFormat="1" applyFont="1" applyFill="1" applyBorder="1"/>
    <xf numFmtId="166" fontId="14" fillId="10" borderId="0" xfId="0" applyNumberFormat="1" applyFont="1" applyFill="1" applyBorder="1" applyAlignment="1">
      <alignment horizontal="right"/>
    </xf>
    <xf numFmtId="166" fontId="14" fillId="10" borderId="13" xfId="0" applyNumberFormat="1" applyFont="1" applyFill="1" applyBorder="1"/>
    <xf numFmtId="166" fontId="0" fillId="12" borderId="4" xfId="0" applyNumberFormat="1" applyFill="1" applyBorder="1" applyAlignment="1">
      <alignment horizontal="right"/>
    </xf>
    <xf numFmtId="0" fontId="0" fillId="0" borderId="0" xfId="0" applyBorder="1" applyAlignment="1"/>
    <xf numFmtId="0" fontId="0" fillId="0" borderId="2" xfId="0" applyBorder="1" applyAlignment="1"/>
    <xf numFmtId="0" fontId="30" fillId="12" borderId="0" xfId="0" applyFont="1" applyFill="1" applyBorder="1"/>
    <xf numFmtId="166" fontId="14" fillId="2" borderId="0" xfId="0" applyNumberFormat="1" applyFont="1" applyFill="1" applyBorder="1" applyAlignment="1">
      <alignment horizontal="right"/>
    </xf>
    <xf numFmtId="166" fontId="0" fillId="2" borderId="4" xfId="0" applyNumberFormat="1" applyFont="1" applyFill="1" applyBorder="1" applyAlignment="1">
      <alignment horizontal="right"/>
    </xf>
    <xf numFmtId="166" fontId="0" fillId="2" borderId="4" xfId="0" applyNumberFormat="1" applyFill="1" applyBorder="1" applyAlignment="1">
      <alignment horizontal="right"/>
    </xf>
    <xf numFmtId="0" fontId="30" fillId="2" borderId="0" xfId="0" applyFont="1" applyFill="1" applyBorder="1"/>
    <xf numFmtId="166" fontId="14" fillId="10" borderId="13" xfId="0" applyNumberFormat="1" applyFont="1" applyFill="1" applyBorder="1" applyAlignment="1">
      <alignment horizontal="right"/>
    </xf>
    <xf numFmtId="0" fontId="30" fillId="10" borderId="0" xfId="0" applyFont="1" applyFill="1" applyBorder="1"/>
    <xf numFmtId="166" fontId="14" fillId="2" borderId="13" xfId="0" applyNumberFormat="1" applyFont="1" applyFill="1" applyBorder="1" applyAlignment="1">
      <alignment horizontal="right"/>
    </xf>
    <xf numFmtId="166" fontId="14" fillId="14" borderId="13" xfId="0" applyNumberFormat="1" applyFont="1" applyFill="1" applyBorder="1" applyAlignment="1">
      <alignment horizontal="right"/>
    </xf>
    <xf numFmtId="0" fontId="30" fillId="14" borderId="0" xfId="0" applyFont="1" applyFill="1" applyBorder="1"/>
    <xf numFmtId="9" fontId="0" fillId="0" borderId="0" xfId="0" applyNumberFormat="1" applyBorder="1"/>
    <xf numFmtId="9" fontId="0" fillId="0" borderId="0" xfId="5" applyFont="1" applyBorder="1" applyAlignment="1">
      <alignment horizontal="right"/>
    </xf>
    <xf numFmtId="10" fontId="0" fillId="0" borderId="0" xfId="5" applyNumberFormat="1" applyFont="1" applyBorder="1"/>
    <xf numFmtId="1" fontId="0" fillId="0" borderId="0" xfId="0" applyNumberFormat="1" applyBorder="1"/>
    <xf numFmtId="166" fontId="0" fillId="0" borderId="0" xfId="0" applyNumberFormat="1" applyBorder="1" applyAlignment="1">
      <alignment horizontal="right"/>
    </xf>
    <xf numFmtId="0" fontId="14" fillId="0" borderId="0" xfId="0" applyFont="1" applyBorder="1" applyAlignment="1">
      <alignment horizontal="right"/>
    </xf>
    <xf numFmtId="1" fontId="0" fillId="0" borderId="0" xfId="0" applyNumberFormat="1" applyBorder="1" applyAlignment="1">
      <alignment horizontal="right"/>
    </xf>
    <xf numFmtId="166" fontId="14" fillId="14" borderId="0" xfId="0" applyNumberFormat="1" applyFont="1" applyFill="1" applyBorder="1" applyAlignment="1">
      <alignment horizontal="right"/>
    </xf>
    <xf numFmtId="166" fontId="14" fillId="12" borderId="14" xfId="0" applyNumberFormat="1" applyFont="1" applyFill="1" applyBorder="1" applyAlignment="1">
      <alignment horizontal="right"/>
    </xf>
    <xf numFmtId="10" fontId="0" fillId="13" borderId="0" xfId="5" applyNumberFormat="1" applyFont="1" applyFill="1" applyBorder="1"/>
    <xf numFmtId="10" fontId="0" fillId="14" borderId="0" xfId="5" applyNumberFormat="1" applyFont="1" applyFill="1" applyBorder="1"/>
    <xf numFmtId="10" fontId="0" fillId="12" borderId="0" xfId="5" applyNumberFormat="1" applyFont="1" applyFill="1" applyBorder="1"/>
    <xf numFmtId="169" fontId="0" fillId="12" borderId="0" xfId="0" applyNumberFormat="1" applyFill="1" applyBorder="1"/>
    <xf numFmtId="169" fontId="0" fillId="2" borderId="0" xfId="0" applyNumberFormat="1" applyFill="1" applyBorder="1"/>
    <xf numFmtId="10" fontId="0" fillId="2" borderId="0" xfId="5" applyNumberFormat="1" applyFont="1" applyFill="1" applyBorder="1"/>
    <xf numFmtId="169" fontId="0" fillId="14" borderId="0" xfId="0" applyNumberFormat="1" applyFont="1" applyFill="1" applyBorder="1"/>
    <xf numFmtId="0" fontId="0" fillId="18" borderId="0" xfId="0" applyFill="1" applyBorder="1"/>
    <xf numFmtId="0" fontId="0" fillId="18" borderId="0" xfId="0" applyFill="1"/>
    <xf numFmtId="166" fontId="28" fillId="12" borderId="0" xfId="0" applyNumberFormat="1" applyFont="1" applyFill="1" applyBorder="1"/>
    <xf numFmtId="166" fontId="28" fillId="12" borderId="0" xfId="0" applyNumberFormat="1" applyFont="1" applyFill="1" applyBorder="1" applyAlignment="1">
      <alignment horizontal="right"/>
    </xf>
    <xf numFmtId="166" fontId="14" fillId="12" borderId="1" xfId="0" applyNumberFormat="1" applyFont="1" applyFill="1" applyBorder="1"/>
    <xf numFmtId="166" fontId="14" fillId="12" borderId="1" xfId="0" applyNumberFormat="1" applyFont="1" applyFill="1" applyBorder="1" applyAlignment="1">
      <alignment horizontal="right"/>
    </xf>
    <xf numFmtId="168" fontId="0" fillId="12" borderId="0" xfId="4" applyNumberFormat="1" applyFont="1" applyFill="1" applyBorder="1"/>
    <xf numFmtId="9" fontId="1" fillId="0" borderId="0" xfId="3" applyNumberFormat="1" applyFont="1" applyBorder="1"/>
    <xf numFmtId="168" fontId="1" fillId="0" borderId="0" xfId="4" applyNumberFormat="1" applyFont="1" applyBorder="1"/>
    <xf numFmtId="168" fontId="0" fillId="0" borderId="0" xfId="4" applyNumberFormat="1" applyFont="1" applyBorder="1"/>
    <xf numFmtId="170" fontId="33" fillId="0" borderId="0" xfId="4" applyNumberFormat="1" applyFont="1" applyBorder="1"/>
    <xf numFmtId="44" fontId="0" fillId="12" borderId="0" xfId="0" applyNumberFormat="1" applyFill="1" applyBorder="1"/>
    <xf numFmtId="44" fontId="0" fillId="2" borderId="0" xfId="0" applyNumberFormat="1" applyFill="1" applyBorder="1"/>
    <xf numFmtId="169" fontId="0" fillId="14" borderId="0" xfId="0" applyNumberFormat="1" applyFill="1" applyBorder="1"/>
    <xf numFmtId="9" fontId="0" fillId="12" borderId="0" xfId="5" applyFont="1" applyFill="1" applyBorder="1"/>
    <xf numFmtId="169" fontId="0" fillId="14" borderId="0" xfId="0" quotePrefix="1" applyNumberFormat="1" applyFill="1" applyBorder="1" applyAlignment="1">
      <alignment horizontal="right"/>
    </xf>
    <xf numFmtId="169" fontId="0" fillId="12" borderId="0" xfId="0" quotePrefix="1" applyNumberFormat="1" applyFill="1" applyBorder="1" applyAlignment="1">
      <alignment horizontal="right"/>
    </xf>
    <xf numFmtId="9" fontId="0" fillId="14" borderId="0" xfId="5" applyNumberFormat="1" applyFont="1" applyFill="1" applyBorder="1"/>
    <xf numFmtId="0" fontId="0" fillId="0" borderId="2" xfId="0" applyBorder="1" applyAlignment="1">
      <alignment wrapText="1"/>
    </xf>
    <xf numFmtId="0" fontId="0" fillId="0" borderId="0" xfId="0" applyBorder="1" applyAlignment="1">
      <alignment wrapText="1"/>
    </xf>
    <xf numFmtId="2" fontId="7" fillId="11" borderId="0" xfId="0" applyNumberFormat="1" applyFont="1" applyFill="1" applyBorder="1" applyAlignment="1"/>
    <xf numFmtId="2" fontId="7" fillId="11" borderId="2" xfId="0" applyNumberFormat="1" applyFont="1" applyFill="1" applyBorder="1" applyAlignment="1"/>
    <xf numFmtId="0" fontId="0" fillId="8" borderId="0" xfId="0" applyFill="1" applyBorder="1" applyAlignment="1"/>
    <xf numFmtId="0" fontId="0" fillId="2" borderId="2" xfId="0" applyFill="1" applyBorder="1" applyAlignment="1">
      <alignment vertical="top" wrapText="1"/>
    </xf>
    <xf numFmtId="0" fontId="0" fillId="0" borderId="0" xfId="0" applyAlignment="1">
      <alignment wrapText="1"/>
    </xf>
    <xf numFmtId="0" fontId="7" fillId="8" borderId="10" xfId="0" applyFont="1" applyFill="1" applyBorder="1" applyAlignment="1"/>
    <xf numFmtId="0" fontId="0" fillId="8" borderId="10" xfId="0" applyFill="1" applyBorder="1" applyAlignment="1"/>
    <xf numFmtId="0" fontId="7" fillId="8" borderId="0" xfId="0" applyFont="1" applyFill="1" applyBorder="1" applyAlignment="1"/>
    <xf numFmtId="0" fontId="9" fillId="8" borderId="6" xfId="0" applyFont="1" applyFill="1" applyBorder="1" applyAlignment="1"/>
    <xf numFmtId="0" fontId="0" fillId="8" borderId="6" xfId="0" applyFill="1" applyBorder="1" applyAlignment="1"/>
    <xf numFmtId="0" fontId="0" fillId="0" borderId="2" xfId="0" applyBorder="1" applyAlignment="1">
      <alignment horizontal="left" vertical="top" wrapText="1"/>
    </xf>
    <xf numFmtId="0" fontId="0" fillId="0" borderId="0" xfId="0" applyBorder="1" applyAlignment="1">
      <alignment horizontal="left" vertical="top" wrapText="1"/>
    </xf>
    <xf numFmtId="0" fontId="8" fillId="8" borderId="10" xfId="0" applyFont="1" applyFill="1" applyBorder="1" applyAlignment="1"/>
    <xf numFmtId="0" fontId="0" fillId="0" borderId="2" xfId="0" applyBorder="1" applyAlignment="1">
      <alignment vertical="top" wrapText="1"/>
    </xf>
    <xf numFmtId="0" fontId="0" fillId="0" borderId="0" xfId="0" applyBorder="1" applyAlignment="1"/>
    <xf numFmtId="0" fontId="0" fillId="0" borderId="2" xfId="0" applyBorder="1" applyAlignment="1"/>
    <xf numFmtId="0" fontId="8" fillId="8" borderId="0" xfId="0" applyFont="1" applyFill="1" applyBorder="1" applyAlignment="1"/>
    <xf numFmtId="0" fontId="8" fillId="8" borderId="6" xfId="0" applyFont="1" applyFill="1" applyBorder="1" applyAlignment="1"/>
    <xf numFmtId="2" fontId="7" fillId="11" borderId="2" xfId="0" applyNumberFormat="1" applyFont="1" applyFill="1" applyBorder="1" applyAlignment="1">
      <alignment wrapText="1"/>
    </xf>
    <xf numFmtId="0" fontId="0" fillId="8" borderId="0" xfId="0" applyFill="1" applyBorder="1" applyAlignment="1">
      <alignment wrapText="1"/>
    </xf>
    <xf numFmtId="0" fontId="0" fillId="8" borderId="3" xfId="0" applyFill="1" applyBorder="1" applyAlignment="1">
      <alignment wrapText="1"/>
    </xf>
    <xf numFmtId="0" fontId="0" fillId="0" borderId="3" xfId="0" applyBorder="1" applyAlignment="1">
      <alignment wrapText="1"/>
    </xf>
    <xf numFmtId="2" fontId="7" fillId="7" borderId="2" xfId="0" applyNumberFormat="1" applyFont="1" applyFill="1" applyBorder="1" applyAlignment="1"/>
    <xf numFmtId="0" fontId="0" fillId="0" borderId="3" xfId="0" applyBorder="1" applyAlignment="1"/>
    <xf numFmtId="0" fontId="7" fillId="6" borderId="10" xfId="0" applyFont="1" applyFill="1" applyBorder="1" applyAlignment="1"/>
    <xf numFmtId="0" fontId="8" fillId="6" borderId="10" xfId="0" applyFont="1" applyFill="1" applyBorder="1" applyAlignment="1"/>
    <xf numFmtId="0" fontId="0" fillId="0" borderId="10" xfId="0" applyBorder="1" applyAlignment="1"/>
    <xf numFmtId="0" fontId="7" fillId="6" borderId="0" xfId="0" applyFont="1" applyFill="1" applyBorder="1" applyAlignment="1"/>
    <xf numFmtId="0" fontId="8" fillId="6" borderId="0" xfId="0" applyFont="1" applyFill="1" applyBorder="1" applyAlignment="1"/>
    <xf numFmtId="0" fontId="9" fillId="6" borderId="6" xfId="0" applyFont="1" applyFill="1" applyBorder="1" applyAlignment="1"/>
    <xf numFmtId="0" fontId="8" fillId="6" borderId="6" xfId="0" applyFont="1" applyFill="1" applyBorder="1" applyAlignment="1"/>
    <xf numFmtId="0" fontId="0" fillId="0" borderId="6" xfId="0" applyBorder="1" applyAlignment="1"/>
    <xf numFmtId="0" fontId="9" fillId="8" borderId="6" xfId="0" applyFont="1" applyFill="1" applyBorder="1" applyAlignment="1">
      <alignment wrapText="1"/>
    </xf>
    <xf numFmtId="0" fontId="0" fillId="8" borderId="6" xfId="0" applyFill="1" applyBorder="1" applyAlignment="1">
      <alignment wrapText="1"/>
    </xf>
    <xf numFmtId="0" fontId="16" fillId="8" borderId="10" xfId="0" applyFont="1" applyFill="1" applyBorder="1" applyAlignment="1"/>
    <xf numFmtId="0" fontId="17" fillId="8" borderId="10" xfId="0" applyFont="1" applyFill="1" applyBorder="1" applyAlignment="1"/>
    <xf numFmtId="0" fontId="16" fillId="8" borderId="0" xfId="0" applyFont="1" applyFill="1" applyBorder="1" applyAlignment="1"/>
    <xf numFmtId="0" fontId="17" fillId="8" borderId="0" xfId="0" applyFont="1" applyFill="1" applyBorder="1" applyAlignment="1"/>
    <xf numFmtId="0" fontId="18" fillId="8" borderId="6" xfId="0" applyFont="1" applyFill="1" applyBorder="1" applyAlignment="1"/>
    <xf numFmtId="0" fontId="17" fillId="8" borderId="6" xfId="0" applyFont="1" applyFill="1" applyBorder="1" applyAlignment="1"/>
    <xf numFmtId="0" fontId="7" fillId="8" borderId="10" xfId="0" applyFont="1" applyFill="1" applyBorder="1" applyAlignment="1">
      <alignment wrapText="1"/>
    </xf>
    <xf numFmtId="0" fontId="0" fillId="8" borderId="10" xfId="0" applyFill="1" applyBorder="1" applyAlignment="1">
      <alignment wrapText="1"/>
    </xf>
    <xf numFmtId="0" fontId="7" fillId="8" borderId="0" xfId="0" applyFont="1" applyFill="1" applyBorder="1" applyAlignment="1">
      <alignment wrapText="1"/>
    </xf>
    <xf numFmtId="0" fontId="0" fillId="8" borderId="0" xfId="0" applyFill="1" applyAlignment="1">
      <alignment wrapText="1"/>
    </xf>
    <xf numFmtId="0" fontId="0" fillId="0" borderId="0" xfId="0" applyAlignment="1"/>
  </cellXfs>
  <cellStyles count="22">
    <cellStyle name="Comma" xfId="4" builtinId="3"/>
    <cellStyle name="Currency" xfId="2"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 name="Normal_Sophia van Zijl VAL-PPL" xfId="3"/>
    <cellStyle name="Percent" xfId="5" builtinId="5"/>
    <cellStyle name="Style 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26DA6"/>
      <rgbColor rgb="00E1F0FF"/>
      <rgbColor rgb="00CCFFCC"/>
      <rgbColor rgb="00FFFF99"/>
      <rgbColor rgb="00B3D9FF"/>
      <rgbColor rgb="00E0EFF4"/>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250008</xdr:colOff>
      <xdr:row>18</xdr:row>
      <xdr:rowOff>143933</xdr:rowOff>
    </xdr:from>
    <xdr:to>
      <xdr:col>13</xdr:col>
      <xdr:colOff>558801</xdr:colOff>
      <xdr:row>38</xdr:row>
      <xdr:rowOff>93133</xdr:rowOff>
    </xdr:to>
    <xdr:pic>
      <xdr:nvPicPr>
        <xdr:cNvPr id="3" name="Picture 2" descr="Untitled 2.pdf">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9341" y="3251200"/>
          <a:ext cx="5219459" cy="2997200"/>
        </a:xfrm>
        <a:prstGeom prst="rect">
          <a:avLst/>
        </a:prstGeom>
      </xdr:spPr>
    </xdr:pic>
    <xdr:clientData/>
  </xdr:twoCellAnchor>
  <xdr:twoCellAnchor editAs="oneCell">
    <xdr:from>
      <xdr:col>8</xdr:col>
      <xdr:colOff>170085</xdr:colOff>
      <xdr:row>0</xdr:row>
      <xdr:rowOff>84669</xdr:rowOff>
    </xdr:from>
    <xdr:to>
      <xdr:col>13</xdr:col>
      <xdr:colOff>324553</xdr:colOff>
      <xdr:row>21</xdr:row>
      <xdr:rowOff>99483</xdr:rowOff>
    </xdr:to>
    <xdr:pic>
      <xdr:nvPicPr>
        <xdr:cNvPr id="5" name="Picture 4" descr="2019 AND 2018 FY.pdf">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11242344" y="-658257"/>
          <a:ext cx="3579281" cy="5065134"/>
        </a:xfrm>
        <a:prstGeom prst="rect">
          <a:avLst/>
        </a:prstGeom>
      </xdr:spPr>
    </xdr:pic>
    <xdr:clientData/>
  </xdr:twoCellAnchor>
  <xdr:twoCellAnchor editAs="oneCell">
    <xdr:from>
      <xdr:col>14</xdr:col>
      <xdr:colOff>42334</xdr:colOff>
      <xdr:row>1</xdr:row>
      <xdr:rowOff>222248</xdr:rowOff>
    </xdr:from>
    <xdr:to>
      <xdr:col>23</xdr:col>
      <xdr:colOff>186268</xdr:colOff>
      <xdr:row>19</xdr:row>
      <xdr:rowOff>29631</xdr:rowOff>
    </xdr:to>
    <xdr:pic>
      <xdr:nvPicPr>
        <xdr:cNvPr id="6" name="Picture 5" descr="FC 2019.pdf">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340667" y="425448"/>
          <a:ext cx="6239934" cy="2863850"/>
        </a:xfrm>
        <a:prstGeom prst="rect">
          <a:avLst/>
        </a:prstGeom>
      </xdr:spPr>
    </xdr:pic>
    <xdr:clientData/>
  </xdr:twoCellAnchor>
  <xdr:twoCellAnchor editAs="oneCell">
    <xdr:from>
      <xdr:col>14</xdr:col>
      <xdr:colOff>177801</xdr:colOff>
      <xdr:row>20</xdr:row>
      <xdr:rowOff>135466</xdr:rowOff>
    </xdr:from>
    <xdr:to>
      <xdr:col>21</xdr:col>
      <xdr:colOff>491065</xdr:colOff>
      <xdr:row>42</xdr:row>
      <xdr:rowOff>87139</xdr:rowOff>
    </xdr:to>
    <xdr:pic>
      <xdr:nvPicPr>
        <xdr:cNvPr id="7" name="Picture 6" descr="fc 2017.pdf">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476134" y="3547533"/>
          <a:ext cx="5054598" cy="3304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16933</xdr:colOff>
      <xdr:row>18</xdr:row>
      <xdr:rowOff>117744</xdr:rowOff>
    </xdr:from>
    <xdr:to>
      <xdr:col>15</xdr:col>
      <xdr:colOff>313267</xdr:colOff>
      <xdr:row>26</xdr:row>
      <xdr:rowOff>42334</xdr:rowOff>
    </xdr:to>
    <xdr:pic>
      <xdr:nvPicPr>
        <xdr:cNvPr id="2" name="Picture 1" descr="Untitled.pdf">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56733" y="3479011"/>
          <a:ext cx="4969934" cy="1380856"/>
        </a:xfrm>
        <a:prstGeom prst="rect">
          <a:avLst/>
        </a:prstGeom>
      </xdr:spPr>
    </xdr:pic>
    <xdr:clientData/>
  </xdr:twoCellAnchor>
  <xdr:twoCellAnchor editAs="oneCell">
    <xdr:from>
      <xdr:col>9</xdr:col>
      <xdr:colOff>10505</xdr:colOff>
      <xdr:row>26</xdr:row>
      <xdr:rowOff>8466</xdr:rowOff>
    </xdr:from>
    <xdr:to>
      <xdr:col>15</xdr:col>
      <xdr:colOff>338667</xdr:colOff>
      <xdr:row>33</xdr:row>
      <xdr:rowOff>84665</xdr:rowOff>
    </xdr:to>
    <xdr:pic>
      <xdr:nvPicPr>
        <xdr:cNvPr id="3" name="Picture 2" descr="2017.pdf">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50305" y="4825999"/>
          <a:ext cx="5001762" cy="13377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pelauritsen/Downloads/stuwincocifs001/users$/Documents%20and%20Settings/mcwillcrai/Local%20Settings/Temporary%20Internet%20Files/Content.IE5/41W81AJ2/Sophia%20van%20Zijl%20VAL-PP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_Templates/Graph_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_Templates/Create_CoyRpt_Tabl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STATED Financial Statements"/>
      <sheetName val="Drivers"/>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y_List"/>
      <sheetName val="New_Graph"/>
      <sheetName val="All_Charts"/>
    </sheetNames>
    <sheetDataSet>
      <sheetData sheetId="0" refreshError="1"/>
      <sheetData sheetId="1">
        <row r="3">
          <cell r="C3">
            <v>113</v>
          </cell>
        </row>
        <row r="4">
          <cell r="B4" t="str">
            <v>Whs</v>
          </cell>
        </row>
        <row r="6">
          <cell r="C6">
            <v>39737</v>
          </cell>
        </row>
        <row r="14">
          <cell r="B14">
            <v>11</v>
          </cell>
        </row>
        <row r="15">
          <cell r="B15">
            <v>1</v>
          </cell>
        </row>
        <row r="16">
          <cell r="B16">
            <v>5</v>
          </cell>
        </row>
        <row r="17">
          <cell r="O17">
            <v>252.61090076335879</v>
          </cell>
          <cell r="P17">
            <v>497.96021137404585</v>
          </cell>
        </row>
        <row r="23">
          <cell r="B23">
            <v>39731</v>
          </cell>
          <cell r="C23">
            <v>110</v>
          </cell>
          <cell r="D23">
            <v>110</v>
          </cell>
          <cell r="N23">
            <v>39737</v>
          </cell>
          <cell r="O23">
            <v>0</v>
          </cell>
          <cell r="P23">
            <v>0</v>
          </cell>
        </row>
        <row r="24">
          <cell r="B24">
            <v>39724</v>
          </cell>
          <cell r="C24">
            <v>130</v>
          </cell>
          <cell r="D24">
            <v>130</v>
          </cell>
          <cell r="N24">
            <v>39736</v>
          </cell>
          <cell r="O24">
            <v>173374</v>
          </cell>
          <cell r="P24">
            <v>196698.67</v>
          </cell>
        </row>
        <row r="25">
          <cell r="B25">
            <v>39717</v>
          </cell>
          <cell r="C25">
            <v>138</v>
          </cell>
          <cell r="D25">
            <v>138</v>
          </cell>
          <cell r="N25">
            <v>39735</v>
          </cell>
          <cell r="O25">
            <v>206720</v>
          </cell>
          <cell r="P25">
            <v>236429.48</v>
          </cell>
        </row>
        <row r="26">
          <cell r="B26">
            <v>39710</v>
          </cell>
          <cell r="C26">
            <v>140</v>
          </cell>
          <cell r="D26">
            <v>140</v>
          </cell>
          <cell r="N26">
            <v>39734</v>
          </cell>
          <cell r="O26">
            <v>181414</v>
          </cell>
          <cell r="P26">
            <v>189482.18</v>
          </cell>
        </row>
        <row r="27">
          <cell r="B27">
            <v>39703</v>
          </cell>
          <cell r="C27">
            <v>151</v>
          </cell>
          <cell r="D27">
            <v>151</v>
          </cell>
          <cell r="N27">
            <v>39731</v>
          </cell>
          <cell r="O27">
            <v>194620</v>
          </cell>
          <cell r="P27">
            <v>217571.52</v>
          </cell>
        </row>
        <row r="28">
          <cell r="B28">
            <v>39696</v>
          </cell>
          <cell r="C28">
            <v>155</v>
          </cell>
          <cell r="D28">
            <v>155</v>
          </cell>
          <cell r="N28">
            <v>39730</v>
          </cell>
          <cell r="O28">
            <v>178147</v>
          </cell>
          <cell r="P28">
            <v>210722.69</v>
          </cell>
        </row>
        <row r="29">
          <cell r="B29">
            <v>39689</v>
          </cell>
          <cell r="C29">
            <v>159</v>
          </cell>
          <cell r="D29">
            <v>159</v>
          </cell>
          <cell r="N29">
            <v>39729</v>
          </cell>
          <cell r="O29">
            <v>280559</v>
          </cell>
          <cell r="P29">
            <v>324950.48</v>
          </cell>
        </row>
        <row r="30">
          <cell r="B30">
            <v>39682</v>
          </cell>
          <cell r="C30">
            <v>156</v>
          </cell>
          <cell r="D30">
            <v>156</v>
          </cell>
          <cell r="N30">
            <v>39728</v>
          </cell>
          <cell r="O30">
            <v>150624</v>
          </cell>
          <cell r="P30">
            <v>180898.01</v>
          </cell>
        </row>
        <row r="31">
          <cell r="B31">
            <v>39675</v>
          </cell>
          <cell r="C31">
            <v>160</v>
          </cell>
          <cell r="D31">
            <v>160</v>
          </cell>
          <cell r="N31">
            <v>39727</v>
          </cell>
          <cell r="O31">
            <v>69370</v>
          </cell>
          <cell r="P31">
            <v>87960.14</v>
          </cell>
        </row>
        <row r="32">
          <cell r="B32">
            <v>39668</v>
          </cell>
          <cell r="C32">
            <v>163</v>
          </cell>
          <cell r="D32">
            <v>163</v>
          </cell>
          <cell r="N32">
            <v>39724</v>
          </cell>
          <cell r="O32">
            <v>117045</v>
          </cell>
          <cell r="P32">
            <v>151986</v>
          </cell>
        </row>
        <row r="33">
          <cell r="B33">
            <v>39661</v>
          </cell>
          <cell r="C33">
            <v>145</v>
          </cell>
          <cell r="D33">
            <v>145</v>
          </cell>
          <cell r="N33">
            <v>39723</v>
          </cell>
          <cell r="O33">
            <v>131877</v>
          </cell>
          <cell r="P33">
            <v>172285.36</v>
          </cell>
        </row>
        <row r="34">
          <cell r="B34">
            <v>39654</v>
          </cell>
          <cell r="C34">
            <v>144</v>
          </cell>
          <cell r="D34">
            <v>144</v>
          </cell>
          <cell r="N34">
            <v>39722</v>
          </cell>
          <cell r="O34">
            <v>184496</v>
          </cell>
          <cell r="P34">
            <v>237923.74</v>
          </cell>
        </row>
        <row r="35">
          <cell r="B35">
            <v>39647</v>
          </cell>
          <cell r="C35">
            <v>142</v>
          </cell>
          <cell r="D35">
            <v>142</v>
          </cell>
          <cell r="N35">
            <v>39721</v>
          </cell>
          <cell r="O35">
            <v>266904</v>
          </cell>
          <cell r="P35">
            <v>349594.74</v>
          </cell>
        </row>
        <row r="36">
          <cell r="B36">
            <v>39640</v>
          </cell>
          <cell r="C36">
            <v>144</v>
          </cell>
          <cell r="D36">
            <v>144</v>
          </cell>
          <cell r="N36">
            <v>39720</v>
          </cell>
          <cell r="O36">
            <v>85928</v>
          </cell>
          <cell r="P36">
            <v>118400.64</v>
          </cell>
        </row>
        <row r="37">
          <cell r="B37">
            <v>39633</v>
          </cell>
          <cell r="C37">
            <v>148</v>
          </cell>
          <cell r="D37">
            <v>148</v>
          </cell>
          <cell r="N37">
            <v>39717</v>
          </cell>
          <cell r="O37">
            <v>213587</v>
          </cell>
          <cell r="P37">
            <v>294750.06</v>
          </cell>
        </row>
        <row r="38">
          <cell r="B38">
            <v>39626</v>
          </cell>
          <cell r="C38">
            <v>148</v>
          </cell>
          <cell r="D38">
            <v>148</v>
          </cell>
          <cell r="N38">
            <v>39716</v>
          </cell>
          <cell r="O38">
            <v>172891</v>
          </cell>
          <cell r="P38">
            <v>238748.58</v>
          </cell>
        </row>
        <row r="39">
          <cell r="B39">
            <v>39619</v>
          </cell>
          <cell r="C39">
            <v>159</v>
          </cell>
          <cell r="D39">
            <v>159</v>
          </cell>
          <cell r="N39">
            <v>39715</v>
          </cell>
          <cell r="O39">
            <v>118447</v>
          </cell>
          <cell r="P39">
            <v>163391.15</v>
          </cell>
        </row>
        <row r="40">
          <cell r="B40">
            <v>39612</v>
          </cell>
          <cell r="C40">
            <v>162</v>
          </cell>
          <cell r="D40">
            <v>162</v>
          </cell>
          <cell r="N40">
            <v>39714</v>
          </cell>
          <cell r="O40">
            <v>61374</v>
          </cell>
          <cell r="P40">
            <v>84502.09</v>
          </cell>
        </row>
        <row r="41">
          <cell r="B41">
            <v>39605</v>
          </cell>
          <cell r="C41">
            <v>162</v>
          </cell>
          <cell r="D41">
            <v>162</v>
          </cell>
          <cell r="N41">
            <v>39713</v>
          </cell>
          <cell r="O41">
            <v>280747</v>
          </cell>
          <cell r="P41">
            <v>400870.25</v>
          </cell>
        </row>
        <row r="42">
          <cell r="B42">
            <v>39598</v>
          </cell>
          <cell r="C42">
            <v>165</v>
          </cell>
          <cell r="D42">
            <v>165</v>
          </cell>
          <cell r="N42">
            <v>39710</v>
          </cell>
          <cell r="O42">
            <v>1207676</v>
          </cell>
          <cell r="P42">
            <v>1685922.72</v>
          </cell>
        </row>
        <row r="43">
          <cell r="B43">
            <v>39591</v>
          </cell>
          <cell r="C43">
            <v>163</v>
          </cell>
          <cell r="D43">
            <v>163</v>
          </cell>
          <cell r="N43">
            <v>39709</v>
          </cell>
          <cell r="O43">
            <v>231510</v>
          </cell>
          <cell r="P43">
            <v>319725.37</v>
          </cell>
        </row>
        <row r="44">
          <cell r="B44">
            <v>39584</v>
          </cell>
          <cell r="C44">
            <v>175</v>
          </cell>
          <cell r="D44">
            <v>175</v>
          </cell>
          <cell r="N44">
            <v>39708</v>
          </cell>
          <cell r="O44">
            <v>466706</v>
          </cell>
          <cell r="P44">
            <v>690171.47</v>
          </cell>
        </row>
        <row r="45">
          <cell r="B45">
            <v>39577</v>
          </cell>
          <cell r="C45">
            <v>175</v>
          </cell>
          <cell r="D45">
            <v>175</v>
          </cell>
          <cell r="N45">
            <v>39707</v>
          </cell>
          <cell r="O45">
            <v>219023</v>
          </cell>
          <cell r="P45">
            <v>326031.27</v>
          </cell>
        </row>
        <row r="46">
          <cell r="B46">
            <v>39570</v>
          </cell>
          <cell r="C46">
            <v>189</v>
          </cell>
          <cell r="D46">
            <v>189</v>
          </cell>
          <cell r="N46">
            <v>39706</v>
          </cell>
          <cell r="O46">
            <v>130550</v>
          </cell>
          <cell r="P46">
            <v>198445</v>
          </cell>
        </row>
        <row r="47">
          <cell r="B47">
            <v>39563</v>
          </cell>
          <cell r="C47">
            <v>182</v>
          </cell>
          <cell r="D47">
            <v>182</v>
          </cell>
          <cell r="N47">
            <v>39703</v>
          </cell>
          <cell r="O47">
            <v>47504</v>
          </cell>
          <cell r="P47">
            <v>72719.33</v>
          </cell>
        </row>
        <row r="48">
          <cell r="B48">
            <v>39556</v>
          </cell>
          <cell r="C48">
            <v>183</v>
          </cell>
          <cell r="D48">
            <v>183</v>
          </cell>
          <cell r="N48">
            <v>39702</v>
          </cell>
          <cell r="O48">
            <v>82710</v>
          </cell>
          <cell r="P48">
            <v>127133.4</v>
          </cell>
        </row>
        <row r="49">
          <cell r="B49">
            <v>39549</v>
          </cell>
          <cell r="C49">
            <v>170</v>
          </cell>
          <cell r="D49">
            <v>170</v>
          </cell>
          <cell r="N49">
            <v>39701</v>
          </cell>
          <cell r="O49">
            <v>151149</v>
          </cell>
          <cell r="P49">
            <v>233569.41</v>
          </cell>
        </row>
        <row r="50">
          <cell r="B50">
            <v>39542</v>
          </cell>
          <cell r="C50">
            <v>190</v>
          </cell>
          <cell r="D50">
            <v>190</v>
          </cell>
          <cell r="N50">
            <v>39700</v>
          </cell>
          <cell r="O50">
            <v>1000</v>
          </cell>
          <cell r="P50">
            <v>1590</v>
          </cell>
        </row>
        <row r="51">
          <cell r="B51">
            <v>39535</v>
          </cell>
          <cell r="C51">
            <v>193</v>
          </cell>
          <cell r="D51">
            <v>193</v>
          </cell>
          <cell r="N51">
            <v>39699</v>
          </cell>
          <cell r="O51">
            <v>356481</v>
          </cell>
          <cell r="P51">
            <v>552535.55000000005</v>
          </cell>
        </row>
        <row r="52">
          <cell r="B52">
            <v>39528</v>
          </cell>
          <cell r="C52">
            <v>166</v>
          </cell>
          <cell r="D52">
            <v>166</v>
          </cell>
          <cell r="N52">
            <v>39696</v>
          </cell>
          <cell r="O52">
            <v>90909</v>
          </cell>
          <cell r="P52">
            <v>140775.51</v>
          </cell>
        </row>
        <row r="53">
          <cell r="B53">
            <v>39521</v>
          </cell>
          <cell r="C53">
            <v>165</v>
          </cell>
          <cell r="D53">
            <v>165</v>
          </cell>
          <cell r="N53">
            <v>39695</v>
          </cell>
          <cell r="O53">
            <v>38291</v>
          </cell>
          <cell r="P53">
            <v>60046.71</v>
          </cell>
        </row>
        <row r="54">
          <cell r="B54">
            <v>39514</v>
          </cell>
          <cell r="C54">
            <v>180</v>
          </cell>
          <cell r="D54">
            <v>180</v>
          </cell>
          <cell r="N54">
            <v>39694</v>
          </cell>
          <cell r="O54">
            <v>42194</v>
          </cell>
          <cell r="P54">
            <v>66594.33</v>
          </cell>
        </row>
        <row r="55">
          <cell r="B55">
            <v>39507</v>
          </cell>
          <cell r="C55">
            <v>188</v>
          </cell>
          <cell r="D55">
            <v>188</v>
          </cell>
          <cell r="N55">
            <v>39693</v>
          </cell>
          <cell r="O55">
            <v>39225</v>
          </cell>
          <cell r="P55">
            <v>62367.75</v>
          </cell>
        </row>
        <row r="56">
          <cell r="B56">
            <v>39500</v>
          </cell>
          <cell r="C56">
            <v>184</v>
          </cell>
          <cell r="D56">
            <v>184</v>
          </cell>
          <cell r="N56">
            <v>39692</v>
          </cell>
          <cell r="O56">
            <v>47426</v>
          </cell>
          <cell r="P56">
            <v>75568.13</v>
          </cell>
        </row>
        <row r="57">
          <cell r="B57">
            <v>39493</v>
          </cell>
          <cell r="C57">
            <v>190</v>
          </cell>
          <cell r="D57">
            <v>190</v>
          </cell>
          <cell r="N57">
            <v>39689</v>
          </cell>
          <cell r="O57">
            <v>120073</v>
          </cell>
          <cell r="P57">
            <v>192811.07</v>
          </cell>
        </row>
        <row r="58">
          <cell r="B58">
            <v>39486</v>
          </cell>
          <cell r="C58">
            <v>233</v>
          </cell>
          <cell r="D58">
            <v>233</v>
          </cell>
          <cell r="N58">
            <v>39688</v>
          </cell>
          <cell r="O58">
            <v>64875</v>
          </cell>
          <cell r="P58">
            <v>105039.18</v>
          </cell>
        </row>
        <row r="59">
          <cell r="B59">
            <v>39479</v>
          </cell>
          <cell r="C59">
            <v>243</v>
          </cell>
          <cell r="D59">
            <v>243</v>
          </cell>
          <cell r="N59">
            <v>39687</v>
          </cell>
          <cell r="O59">
            <v>25057</v>
          </cell>
          <cell r="P59">
            <v>39684.17</v>
          </cell>
        </row>
        <row r="60">
          <cell r="B60">
            <v>39472</v>
          </cell>
          <cell r="C60">
            <v>245</v>
          </cell>
          <cell r="D60">
            <v>245</v>
          </cell>
          <cell r="N60">
            <v>39686</v>
          </cell>
          <cell r="O60">
            <v>34951</v>
          </cell>
          <cell r="P60">
            <v>54752.14</v>
          </cell>
        </row>
        <row r="61">
          <cell r="B61">
            <v>39465</v>
          </cell>
          <cell r="C61">
            <v>230</v>
          </cell>
          <cell r="D61">
            <v>230</v>
          </cell>
          <cell r="N61">
            <v>39685</v>
          </cell>
          <cell r="O61">
            <v>189861</v>
          </cell>
          <cell r="P61">
            <v>304293.65000000002</v>
          </cell>
        </row>
        <row r="62">
          <cell r="B62">
            <v>39458</v>
          </cell>
          <cell r="C62">
            <v>244</v>
          </cell>
          <cell r="D62">
            <v>244</v>
          </cell>
          <cell r="N62">
            <v>39682</v>
          </cell>
          <cell r="O62">
            <v>105150</v>
          </cell>
          <cell r="P62">
            <v>165195.5</v>
          </cell>
        </row>
        <row r="63">
          <cell r="B63">
            <v>39451</v>
          </cell>
          <cell r="C63">
            <v>257</v>
          </cell>
          <cell r="D63">
            <v>257</v>
          </cell>
          <cell r="N63">
            <v>39681</v>
          </cell>
          <cell r="O63">
            <v>36830</v>
          </cell>
          <cell r="P63">
            <v>58629.25</v>
          </cell>
        </row>
        <row r="64">
          <cell r="B64">
            <v>39444</v>
          </cell>
          <cell r="C64">
            <v>255</v>
          </cell>
          <cell r="D64">
            <v>255</v>
          </cell>
          <cell r="N64">
            <v>39680</v>
          </cell>
          <cell r="O64">
            <v>29771</v>
          </cell>
          <cell r="P64">
            <v>47465.57</v>
          </cell>
        </row>
        <row r="65">
          <cell r="B65">
            <v>39437</v>
          </cell>
          <cell r="C65">
            <v>251</v>
          </cell>
          <cell r="D65">
            <v>251</v>
          </cell>
          <cell r="N65">
            <v>39679</v>
          </cell>
          <cell r="O65">
            <v>26175</v>
          </cell>
          <cell r="P65">
            <v>41621.25</v>
          </cell>
        </row>
        <row r="66">
          <cell r="B66">
            <v>39430</v>
          </cell>
          <cell r="C66">
            <v>248</v>
          </cell>
          <cell r="D66">
            <v>248</v>
          </cell>
          <cell r="N66">
            <v>39678</v>
          </cell>
          <cell r="O66">
            <v>29245</v>
          </cell>
          <cell r="P66">
            <v>46373.31</v>
          </cell>
        </row>
        <row r="67">
          <cell r="B67">
            <v>39423</v>
          </cell>
          <cell r="C67">
            <v>265</v>
          </cell>
          <cell r="D67">
            <v>265</v>
          </cell>
          <cell r="N67">
            <v>39675</v>
          </cell>
          <cell r="O67">
            <v>29544</v>
          </cell>
          <cell r="P67">
            <v>47203.85</v>
          </cell>
        </row>
        <row r="68">
          <cell r="B68">
            <v>39416</v>
          </cell>
          <cell r="C68">
            <v>266</v>
          </cell>
          <cell r="D68">
            <v>266</v>
          </cell>
          <cell r="N68">
            <v>39674</v>
          </cell>
          <cell r="O68">
            <v>97625</v>
          </cell>
          <cell r="P68">
            <v>156010</v>
          </cell>
        </row>
        <row r="69">
          <cell r="B69">
            <v>39409</v>
          </cell>
          <cell r="C69">
            <v>269</v>
          </cell>
          <cell r="D69">
            <v>269</v>
          </cell>
          <cell r="N69">
            <v>39673</v>
          </cell>
          <cell r="O69">
            <v>38000</v>
          </cell>
          <cell r="P69">
            <v>61130</v>
          </cell>
        </row>
        <row r="70">
          <cell r="B70">
            <v>39402</v>
          </cell>
          <cell r="C70">
            <v>289</v>
          </cell>
          <cell r="D70">
            <v>289</v>
          </cell>
          <cell r="N70">
            <v>39672</v>
          </cell>
          <cell r="O70">
            <v>47165</v>
          </cell>
          <cell r="P70">
            <v>76047.58</v>
          </cell>
        </row>
        <row r="71">
          <cell r="B71">
            <v>39395</v>
          </cell>
          <cell r="C71">
            <v>288</v>
          </cell>
          <cell r="D71">
            <v>288</v>
          </cell>
          <cell r="N71">
            <v>39671</v>
          </cell>
          <cell r="O71">
            <v>57844</v>
          </cell>
          <cell r="P71">
            <v>94022.66</v>
          </cell>
        </row>
        <row r="72">
          <cell r="B72">
            <v>39388</v>
          </cell>
          <cell r="C72">
            <v>293</v>
          </cell>
          <cell r="D72">
            <v>293</v>
          </cell>
          <cell r="N72">
            <v>39668</v>
          </cell>
          <cell r="O72">
            <v>26229</v>
          </cell>
          <cell r="P72">
            <v>43327.27</v>
          </cell>
        </row>
        <row r="73">
          <cell r="B73">
            <v>39381</v>
          </cell>
          <cell r="C73">
            <v>305</v>
          </cell>
          <cell r="D73">
            <v>305</v>
          </cell>
          <cell r="N73">
            <v>39667</v>
          </cell>
          <cell r="O73">
            <v>178388</v>
          </cell>
          <cell r="P73">
            <v>279888.58</v>
          </cell>
        </row>
        <row r="74">
          <cell r="B74">
            <v>39374</v>
          </cell>
          <cell r="C74">
            <v>315</v>
          </cell>
          <cell r="D74">
            <v>315</v>
          </cell>
          <cell r="N74">
            <v>39666</v>
          </cell>
          <cell r="O74">
            <v>87329</v>
          </cell>
          <cell r="P74">
            <v>130881.61</v>
          </cell>
        </row>
        <row r="75">
          <cell r="B75">
            <v>39367</v>
          </cell>
          <cell r="C75">
            <v>313</v>
          </cell>
          <cell r="D75">
            <v>313</v>
          </cell>
          <cell r="N75">
            <v>39665</v>
          </cell>
          <cell r="O75">
            <v>35988</v>
          </cell>
          <cell r="P75">
            <v>52752.54</v>
          </cell>
        </row>
        <row r="76">
          <cell r="B76">
            <v>39360</v>
          </cell>
          <cell r="C76">
            <v>305</v>
          </cell>
          <cell r="D76">
            <v>305</v>
          </cell>
          <cell r="N76">
            <v>39664</v>
          </cell>
          <cell r="O76">
            <v>148740</v>
          </cell>
          <cell r="P76">
            <v>220249.74</v>
          </cell>
        </row>
        <row r="77">
          <cell r="B77">
            <v>39353</v>
          </cell>
          <cell r="C77">
            <v>311</v>
          </cell>
          <cell r="D77">
            <v>311</v>
          </cell>
          <cell r="N77">
            <v>39661</v>
          </cell>
          <cell r="O77">
            <v>105644</v>
          </cell>
          <cell r="P77">
            <v>155995.44</v>
          </cell>
        </row>
        <row r="78">
          <cell r="B78">
            <v>39346</v>
          </cell>
          <cell r="C78">
            <v>325</v>
          </cell>
          <cell r="D78">
            <v>325</v>
          </cell>
          <cell r="N78">
            <v>39660</v>
          </cell>
          <cell r="O78">
            <v>103328</v>
          </cell>
          <cell r="P78">
            <v>161449.66</v>
          </cell>
        </row>
        <row r="79">
          <cell r="B79">
            <v>39339</v>
          </cell>
          <cell r="C79">
            <v>325</v>
          </cell>
          <cell r="D79">
            <v>325</v>
          </cell>
          <cell r="N79">
            <v>39659</v>
          </cell>
          <cell r="O79">
            <v>62051</v>
          </cell>
          <cell r="P79">
            <v>93060.5</v>
          </cell>
        </row>
        <row r="80">
          <cell r="B80">
            <v>39332</v>
          </cell>
          <cell r="C80">
            <v>335</v>
          </cell>
          <cell r="D80">
            <v>335</v>
          </cell>
          <cell r="N80">
            <v>39658</v>
          </cell>
          <cell r="O80">
            <v>126235</v>
          </cell>
          <cell r="P80">
            <v>178672.37</v>
          </cell>
        </row>
        <row r="81">
          <cell r="B81">
            <v>39325</v>
          </cell>
          <cell r="C81">
            <v>355</v>
          </cell>
          <cell r="D81">
            <v>355</v>
          </cell>
          <cell r="N81">
            <v>39657</v>
          </cell>
          <cell r="O81">
            <v>140427</v>
          </cell>
          <cell r="P81">
            <v>201062.22</v>
          </cell>
        </row>
        <row r="82">
          <cell r="B82">
            <v>39318</v>
          </cell>
          <cell r="C82">
            <v>350</v>
          </cell>
          <cell r="D82">
            <v>350</v>
          </cell>
          <cell r="N82">
            <v>39654</v>
          </cell>
          <cell r="O82">
            <v>48875</v>
          </cell>
          <cell r="P82">
            <v>70296</v>
          </cell>
        </row>
        <row r="83">
          <cell r="B83">
            <v>39311</v>
          </cell>
          <cell r="C83">
            <v>335</v>
          </cell>
          <cell r="D83">
            <v>335</v>
          </cell>
          <cell r="N83">
            <v>39653</v>
          </cell>
          <cell r="O83">
            <v>115180</v>
          </cell>
          <cell r="P83">
            <v>166166.46</v>
          </cell>
        </row>
        <row r="84">
          <cell r="B84">
            <v>39304</v>
          </cell>
          <cell r="C84">
            <v>332</v>
          </cell>
          <cell r="D84">
            <v>332</v>
          </cell>
          <cell r="N84">
            <v>39652</v>
          </cell>
          <cell r="O84">
            <v>193665</v>
          </cell>
          <cell r="P84">
            <v>276427.55</v>
          </cell>
        </row>
        <row r="85">
          <cell r="B85">
            <v>39297</v>
          </cell>
          <cell r="C85">
            <v>330</v>
          </cell>
          <cell r="D85">
            <v>330</v>
          </cell>
          <cell r="N85">
            <v>39651</v>
          </cell>
          <cell r="O85">
            <v>61605</v>
          </cell>
          <cell r="P85">
            <v>87404.95</v>
          </cell>
        </row>
        <row r="86">
          <cell r="B86">
            <v>39290</v>
          </cell>
          <cell r="C86">
            <v>345</v>
          </cell>
          <cell r="D86">
            <v>345</v>
          </cell>
          <cell r="N86">
            <v>39650</v>
          </cell>
          <cell r="O86">
            <v>55032</v>
          </cell>
          <cell r="P86">
            <v>77074.8</v>
          </cell>
        </row>
        <row r="87">
          <cell r="B87">
            <v>39283</v>
          </cell>
          <cell r="C87">
            <v>346</v>
          </cell>
          <cell r="D87">
            <v>346</v>
          </cell>
          <cell r="N87">
            <v>39647</v>
          </cell>
          <cell r="O87">
            <v>69254</v>
          </cell>
          <cell r="P87">
            <v>99026.78</v>
          </cell>
        </row>
        <row r="88">
          <cell r="B88">
            <v>39276</v>
          </cell>
          <cell r="C88">
            <v>342</v>
          </cell>
          <cell r="D88">
            <v>342</v>
          </cell>
          <cell r="N88">
            <v>39646</v>
          </cell>
          <cell r="O88">
            <v>52134</v>
          </cell>
          <cell r="P88">
            <v>74317.52</v>
          </cell>
        </row>
        <row r="89">
          <cell r="B89">
            <v>39269</v>
          </cell>
          <cell r="C89">
            <v>348</v>
          </cell>
          <cell r="D89">
            <v>348</v>
          </cell>
          <cell r="N89">
            <v>39645</v>
          </cell>
          <cell r="O89">
            <v>335395</v>
          </cell>
          <cell r="P89">
            <v>469357.96</v>
          </cell>
        </row>
        <row r="90">
          <cell r="B90">
            <v>39262</v>
          </cell>
          <cell r="C90">
            <v>335</v>
          </cell>
          <cell r="D90">
            <v>335</v>
          </cell>
          <cell r="N90">
            <v>39644</v>
          </cell>
          <cell r="O90">
            <v>285528</v>
          </cell>
          <cell r="P90">
            <v>404728.19</v>
          </cell>
        </row>
        <row r="91">
          <cell r="B91">
            <v>39255</v>
          </cell>
          <cell r="C91">
            <v>355</v>
          </cell>
          <cell r="D91">
            <v>355</v>
          </cell>
          <cell r="N91">
            <v>39643</v>
          </cell>
          <cell r="O91">
            <v>26582</v>
          </cell>
          <cell r="P91">
            <v>37967.26</v>
          </cell>
        </row>
        <row r="92">
          <cell r="B92">
            <v>39248</v>
          </cell>
          <cell r="C92">
            <v>370</v>
          </cell>
          <cell r="D92">
            <v>370</v>
          </cell>
          <cell r="N92">
            <v>39640</v>
          </cell>
          <cell r="O92">
            <v>98190</v>
          </cell>
          <cell r="P92">
            <v>141264.24</v>
          </cell>
        </row>
        <row r="93">
          <cell r="B93">
            <v>39241</v>
          </cell>
          <cell r="C93">
            <v>380</v>
          </cell>
          <cell r="D93">
            <v>380</v>
          </cell>
          <cell r="N93">
            <v>39639</v>
          </cell>
          <cell r="O93">
            <v>97725</v>
          </cell>
          <cell r="P93">
            <v>140919.25</v>
          </cell>
        </row>
        <row r="94">
          <cell r="B94">
            <v>39234</v>
          </cell>
          <cell r="C94">
            <v>420</v>
          </cell>
          <cell r="D94">
            <v>420</v>
          </cell>
          <cell r="N94">
            <v>39638</v>
          </cell>
          <cell r="O94">
            <v>184730</v>
          </cell>
          <cell r="P94">
            <v>279649.94</v>
          </cell>
        </row>
        <row r="95">
          <cell r="B95">
            <v>39227</v>
          </cell>
          <cell r="C95">
            <v>410</v>
          </cell>
          <cell r="D95">
            <v>410</v>
          </cell>
          <cell r="N95">
            <v>39637</v>
          </cell>
          <cell r="O95">
            <v>77200</v>
          </cell>
          <cell r="P95">
            <v>117229.5</v>
          </cell>
        </row>
        <row r="96">
          <cell r="B96">
            <v>39220</v>
          </cell>
          <cell r="C96">
            <v>418</v>
          </cell>
          <cell r="D96">
            <v>418</v>
          </cell>
          <cell r="N96">
            <v>39636</v>
          </cell>
          <cell r="O96">
            <v>93375</v>
          </cell>
          <cell r="P96">
            <v>142110</v>
          </cell>
        </row>
        <row r="97">
          <cell r="B97">
            <v>39213</v>
          </cell>
          <cell r="C97">
            <v>432</v>
          </cell>
          <cell r="D97">
            <v>432</v>
          </cell>
          <cell r="N97">
            <v>39633</v>
          </cell>
          <cell r="O97">
            <v>23557</v>
          </cell>
          <cell r="P97">
            <v>33734.53</v>
          </cell>
        </row>
        <row r="98">
          <cell r="B98">
            <v>39206</v>
          </cell>
          <cell r="C98">
            <v>445</v>
          </cell>
          <cell r="D98">
            <v>445</v>
          </cell>
          <cell r="N98">
            <v>39632</v>
          </cell>
          <cell r="O98">
            <v>3502211</v>
          </cell>
          <cell r="P98">
            <v>4920572.76</v>
          </cell>
        </row>
        <row r="99">
          <cell r="B99">
            <v>39199</v>
          </cell>
          <cell r="C99">
            <v>426</v>
          </cell>
          <cell r="D99">
            <v>426</v>
          </cell>
          <cell r="N99">
            <v>39631</v>
          </cell>
          <cell r="O99">
            <v>105160</v>
          </cell>
          <cell r="P99">
            <v>148162.81</v>
          </cell>
        </row>
        <row r="100">
          <cell r="B100">
            <v>39192</v>
          </cell>
          <cell r="C100">
            <v>426</v>
          </cell>
          <cell r="D100">
            <v>426</v>
          </cell>
          <cell r="N100">
            <v>39630</v>
          </cell>
          <cell r="O100">
            <v>37604</v>
          </cell>
          <cell r="P100">
            <v>52842.67</v>
          </cell>
        </row>
        <row r="101">
          <cell r="B101">
            <v>39185</v>
          </cell>
          <cell r="C101">
            <v>420</v>
          </cell>
          <cell r="D101">
            <v>420</v>
          </cell>
          <cell r="N101">
            <v>39629</v>
          </cell>
          <cell r="O101">
            <v>38225</v>
          </cell>
          <cell r="P101">
            <v>54850.23</v>
          </cell>
        </row>
        <row r="102">
          <cell r="B102">
            <v>39178</v>
          </cell>
          <cell r="C102">
            <v>430</v>
          </cell>
          <cell r="D102">
            <v>430</v>
          </cell>
          <cell r="N102">
            <v>39626</v>
          </cell>
          <cell r="O102">
            <v>1561825</v>
          </cell>
          <cell r="P102">
            <v>2311568.62</v>
          </cell>
        </row>
        <row r="103">
          <cell r="B103">
            <v>39171</v>
          </cell>
          <cell r="C103">
            <v>433</v>
          </cell>
          <cell r="D103">
            <v>433</v>
          </cell>
          <cell r="N103">
            <v>39625</v>
          </cell>
          <cell r="O103">
            <v>221551</v>
          </cell>
          <cell r="P103">
            <v>337232.63</v>
          </cell>
        </row>
        <row r="104">
          <cell r="B104">
            <v>39164</v>
          </cell>
          <cell r="C104">
            <v>435</v>
          </cell>
          <cell r="D104">
            <v>435</v>
          </cell>
          <cell r="N104">
            <v>39624</v>
          </cell>
          <cell r="O104">
            <v>119374</v>
          </cell>
          <cell r="P104">
            <v>178901.46</v>
          </cell>
        </row>
        <row r="105">
          <cell r="B105">
            <v>39157</v>
          </cell>
          <cell r="C105">
            <v>435</v>
          </cell>
          <cell r="D105">
            <v>435</v>
          </cell>
          <cell r="N105">
            <v>39623</v>
          </cell>
          <cell r="O105">
            <v>34541</v>
          </cell>
          <cell r="P105">
            <v>53072.85</v>
          </cell>
        </row>
        <row r="106">
          <cell r="B106">
            <v>39150</v>
          </cell>
          <cell r="C106">
            <v>454</v>
          </cell>
          <cell r="D106">
            <v>454</v>
          </cell>
          <cell r="N106">
            <v>39622</v>
          </cell>
          <cell r="O106">
            <v>191625</v>
          </cell>
          <cell r="P106">
            <v>303895.36</v>
          </cell>
        </row>
        <row r="107">
          <cell r="B107">
            <v>39143</v>
          </cell>
          <cell r="C107">
            <v>442</v>
          </cell>
          <cell r="D107">
            <v>442</v>
          </cell>
          <cell r="N107">
            <v>39619</v>
          </cell>
          <cell r="O107">
            <v>1607026</v>
          </cell>
          <cell r="P107">
            <v>2512024.7799999998</v>
          </cell>
        </row>
        <row r="108">
          <cell r="B108">
            <v>39136</v>
          </cell>
          <cell r="C108">
            <v>445</v>
          </cell>
          <cell r="D108">
            <v>445</v>
          </cell>
          <cell r="N108">
            <v>39618</v>
          </cell>
          <cell r="O108">
            <v>143770</v>
          </cell>
          <cell r="P108">
            <v>229058.63</v>
          </cell>
        </row>
        <row r="109">
          <cell r="B109">
            <v>39129</v>
          </cell>
          <cell r="C109">
            <v>465</v>
          </cell>
          <cell r="D109">
            <v>465</v>
          </cell>
          <cell r="N109">
            <v>39617</v>
          </cell>
          <cell r="O109">
            <v>214524</v>
          </cell>
          <cell r="P109">
            <v>345273.62</v>
          </cell>
        </row>
        <row r="110">
          <cell r="B110">
            <v>39122</v>
          </cell>
          <cell r="C110">
            <v>469</v>
          </cell>
          <cell r="D110">
            <v>469</v>
          </cell>
          <cell r="N110">
            <v>39616</v>
          </cell>
          <cell r="O110">
            <v>34088</v>
          </cell>
          <cell r="P110">
            <v>56404.81</v>
          </cell>
        </row>
        <row r="111">
          <cell r="B111">
            <v>39115</v>
          </cell>
          <cell r="C111">
            <v>475</v>
          </cell>
          <cell r="D111">
            <v>475</v>
          </cell>
          <cell r="N111">
            <v>39615</v>
          </cell>
          <cell r="O111">
            <v>90035</v>
          </cell>
          <cell r="P111">
            <v>144432.76999999999</v>
          </cell>
        </row>
        <row r="112">
          <cell r="B112">
            <v>39108</v>
          </cell>
          <cell r="C112">
            <v>490</v>
          </cell>
          <cell r="D112">
            <v>490</v>
          </cell>
          <cell r="N112">
            <v>39612</v>
          </cell>
          <cell r="O112">
            <v>59549</v>
          </cell>
          <cell r="P112">
            <v>97114.98</v>
          </cell>
        </row>
        <row r="113">
          <cell r="B113">
            <v>39101</v>
          </cell>
          <cell r="C113">
            <v>482</v>
          </cell>
          <cell r="D113">
            <v>482</v>
          </cell>
          <cell r="N113">
            <v>39611</v>
          </cell>
          <cell r="O113">
            <v>23970</v>
          </cell>
          <cell r="P113">
            <v>39240.400000000001</v>
          </cell>
        </row>
        <row r="114">
          <cell r="B114">
            <v>39094</v>
          </cell>
          <cell r="C114">
            <v>466</v>
          </cell>
          <cell r="D114">
            <v>466</v>
          </cell>
          <cell r="N114">
            <v>39610</v>
          </cell>
          <cell r="O114">
            <v>35080</v>
          </cell>
          <cell r="P114">
            <v>57976.33</v>
          </cell>
        </row>
        <row r="115">
          <cell r="B115">
            <v>39087</v>
          </cell>
          <cell r="C115">
            <v>470</v>
          </cell>
          <cell r="D115">
            <v>470</v>
          </cell>
          <cell r="N115">
            <v>39609</v>
          </cell>
          <cell r="O115">
            <v>3356210</v>
          </cell>
          <cell r="P115">
            <v>5370731.5099999998</v>
          </cell>
        </row>
        <row r="116">
          <cell r="B116">
            <v>39080</v>
          </cell>
          <cell r="C116">
            <v>465</v>
          </cell>
          <cell r="D116">
            <v>465</v>
          </cell>
          <cell r="N116">
            <v>39608</v>
          </cell>
          <cell r="O116">
            <v>373733</v>
          </cell>
          <cell r="P116">
            <v>601325.46</v>
          </cell>
        </row>
        <row r="117">
          <cell r="B117">
            <v>39073</v>
          </cell>
          <cell r="C117">
            <v>445</v>
          </cell>
          <cell r="D117">
            <v>445</v>
          </cell>
          <cell r="N117">
            <v>39605</v>
          </cell>
          <cell r="O117">
            <v>45150</v>
          </cell>
          <cell r="P117">
            <v>74259.399999999994</v>
          </cell>
        </row>
        <row r="118">
          <cell r="B118">
            <v>39066</v>
          </cell>
          <cell r="C118">
            <v>434</v>
          </cell>
          <cell r="D118">
            <v>434</v>
          </cell>
          <cell r="N118">
            <v>39604</v>
          </cell>
          <cell r="O118">
            <v>13443</v>
          </cell>
          <cell r="P118">
            <v>23004.98</v>
          </cell>
        </row>
        <row r="119">
          <cell r="B119">
            <v>39059</v>
          </cell>
          <cell r="C119">
            <v>420</v>
          </cell>
          <cell r="D119">
            <v>420</v>
          </cell>
          <cell r="N119">
            <v>39603</v>
          </cell>
          <cell r="O119">
            <v>100923</v>
          </cell>
          <cell r="P119">
            <v>169703.95</v>
          </cell>
        </row>
        <row r="120">
          <cell r="B120">
            <v>39052</v>
          </cell>
          <cell r="C120">
            <v>430</v>
          </cell>
          <cell r="D120">
            <v>430</v>
          </cell>
          <cell r="N120">
            <v>39602</v>
          </cell>
          <cell r="O120">
            <v>22090</v>
          </cell>
          <cell r="P120">
            <v>36286.32</v>
          </cell>
        </row>
        <row r="121">
          <cell r="B121">
            <v>39045</v>
          </cell>
          <cell r="C121">
            <v>425</v>
          </cell>
          <cell r="D121">
            <v>425</v>
          </cell>
          <cell r="N121">
            <v>39601</v>
          </cell>
          <cell r="O121">
            <v>0</v>
          </cell>
          <cell r="P121">
            <v>0</v>
          </cell>
        </row>
        <row r="122">
          <cell r="B122">
            <v>39038</v>
          </cell>
          <cell r="C122">
            <v>411</v>
          </cell>
          <cell r="D122">
            <v>411</v>
          </cell>
          <cell r="N122">
            <v>39598</v>
          </cell>
          <cell r="O122">
            <v>33477</v>
          </cell>
          <cell r="P122">
            <v>55400.08</v>
          </cell>
        </row>
        <row r="123">
          <cell r="B123">
            <v>39031</v>
          </cell>
          <cell r="C123">
            <v>413</v>
          </cell>
          <cell r="D123">
            <v>413</v>
          </cell>
          <cell r="N123">
            <v>39597</v>
          </cell>
          <cell r="O123">
            <v>234600</v>
          </cell>
          <cell r="P123">
            <v>380290</v>
          </cell>
        </row>
        <row r="124">
          <cell r="B124">
            <v>39024</v>
          </cell>
          <cell r="C124">
            <v>400</v>
          </cell>
          <cell r="D124">
            <v>400</v>
          </cell>
          <cell r="N124">
            <v>39596</v>
          </cell>
          <cell r="O124">
            <v>32624</v>
          </cell>
          <cell r="P124">
            <v>54499.32</v>
          </cell>
        </row>
        <row r="125">
          <cell r="B125">
            <v>39017</v>
          </cell>
          <cell r="C125">
            <v>393</v>
          </cell>
          <cell r="D125">
            <v>393</v>
          </cell>
          <cell r="N125">
            <v>39595</v>
          </cell>
          <cell r="O125">
            <v>64119</v>
          </cell>
          <cell r="P125">
            <v>105784.44</v>
          </cell>
        </row>
        <row r="126">
          <cell r="B126">
            <v>39010</v>
          </cell>
          <cell r="C126">
            <v>398</v>
          </cell>
          <cell r="D126">
            <v>398</v>
          </cell>
          <cell r="N126">
            <v>39594</v>
          </cell>
          <cell r="O126">
            <v>34956</v>
          </cell>
          <cell r="P126">
            <v>56582.66</v>
          </cell>
        </row>
        <row r="127">
          <cell r="B127">
            <v>39003</v>
          </cell>
          <cell r="C127">
            <v>405</v>
          </cell>
          <cell r="D127">
            <v>405</v>
          </cell>
          <cell r="N127">
            <v>39591</v>
          </cell>
          <cell r="O127">
            <v>720703</v>
          </cell>
          <cell r="P127">
            <v>1181885.1499999999</v>
          </cell>
        </row>
        <row r="128">
          <cell r="B128">
            <v>38996</v>
          </cell>
          <cell r="C128">
            <v>406</v>
          </cell>
          <cell r="D128">
            <v>406</v>
          </cell>
          <cell r="N128">
            <v>39590</v>
          </cell>
          <cell r="O128">
            <v>93750</v>
          </cell>
          <cell r="P128">
            <v>155548</v>
          </cell>
        </row>
        <row r="129">
          <cell r="B129">
            <v>38989</v>
          </cell>
          <cell r="C129">
            <v>405</v>
          </cell>
          <cell r="D129">
            <v>405</v>
          </cell>
          <cell r="N129">
            <v>39589</v>
          </cell>
          <cell r="O129">
            <v>74692</v>
          </cell>
          <cell r="P129">
            <v>127172.63</v>
          </cell>
        </row>
        <row r="130">
          <cell r="B130">
            <v>38982</v>
          </cell>
          <cell r="C130">
            <v>405</v>
          </cell>
          <cell r="D130">
            <v>405</v>
          </cell>
          <cell r="N130">
            <v>39588</v>
          </cell>
          <cell r="O130">
            <v>20234</v>
          </cell>
          <cell r="P130">
            <v>35241.14</v>
          </cell>
        </row>
        <row r="131">
          <cell r="B131">
            <v>38975</v>
          </cell>
          <cell r="C131">
            <v>398</v>
          </cell>
          <cell r="D131">
            <v>398</v>
          </cell>
          <cell r="N131">
            <v>39587</v>
          </cell>
          <cell r="O131">
            <v>37554</v>
          </cell>
          <cell r="P131">
            <v>65714.61</v>
          </cell>
        </row>
        <row r="132">
          <cell r="B132">
            <v>38968</v>
          </cell>
          <cell r="C132">
            <v>398</v>
          </cell>
          <cell r="D132">
            <v>398</v>
          </cell>
          <cell r="N132">
            <v>39584</v>
          </cell>
          <cell r="O132">
            <v>62425</v>
          </cell>
          <cell r="P132">
            <v>108959.5</v>
          </cell>
        </row>
        <row r="133">
          <cell r="B133">
            <v>38961</v>
          </cell>
          <cell r="C133">
            <v>400</v>
          </cell>
          <cell r="D133">
            <v>400</v>
          </cell>
          <cell r="N133">
            <v>39583</v>
          </cell>
          <cell r="O133">
            <v>57170</v>
          </cell>
          <cell r="P133">
            <v>99217.5</v>
          </cell>
        </row>
        <row r="134">
          <cell r="B134">
            <v>38954</v>
          </cell>
          <cell r="C134">
            <v>400</v>
          </cell>
          <cell r="D134">
            <v>400</v>
          </cell>
          <cell r="N134">
            <v>39582</v>
          </cell>
          <cell r="O134">
            <v>48720</v>
          </cell>
          <cell r="P134">
            <v>86164.78</v>
          </cell>
        </row>
        <row r="135">
          <cell r="B135">
            <v>38947</v>
          </cell>
          <cell r="C135">
            <v>405</v>
          </cell>
          <cell r="D135">
            <v>405</v>
          </cell>
          <cell r="N135">
            <v>39581</v>
          </cell>
          <cell r="O135">
            <v>41707</v>
          </cell>
          <cell r="P135">
            <v>73932.600000000006</v>
          </cell>
        </row>
        <row r="136">
          <cell r="B136">
            <v>38940</v>
          </cell>
          <cell r="C136">
            <v>419</v>
          </cell>
          <cell r="D136">
            <v>419</v>
          </cell>
          <cell r="N136">
            <v>39580</v>
          </cell>
          <cell r="O136">
            <v>162920</v>
          </cell>
          <cell r="P136">
            <v>287533.75</v>
          </cell>
        </row>
        <row r="137">
          <cell r="B137">
            <v>38933</v>
          </cell>
          <cell r="C137">
            <v>419</v>
          </cell>
          <cell r="D137">
            <v>419</v>
          </cell>
          <cell r="N137">
            <v>39577</v>
          </cell>
          <cell r="O137">
            <v>92910</v>
          </cell>
          <cell r="P137">
            <v>162360.72</v>
          </cell>
        </row>
        <row r="138">
          <cell r="B138">
            <v>38926</v>
          </cell>
          <cell r="C138">
            <v>430</v>
          </cell>
          <cell r="D138">
            <v>430</v>
          </cell>
          <cell r="N138">
            <v>39576</v>
          </cell>
          <cell r="O138">
            <v>47914</v>
          </cell>
          <cell r="P138">
            <v>83105.399999999994</v>
          </cell>
        </row>
        <row r="139">
          <cell r="B139">
            <v>38919</v>
          </cell>
          <cell r="C139">
            <v>430</v>
          </cell>
          <cell r="D139">
            <v>430</v>
          </cell>
          <cell r="N139">
            <v>39575</v>
          </cell>
          <cell r="O139">
            <v>166735</v>
          </cell>
          <cell r="P139">
            <v>296663.67999999999</v>
          </cell>
        </row>
        <row r="140">
          <cell r="B140">
            <v>38912</v>
          </cell>
          <cell r="C140">
            <v>434</v>
          </cell>
          <cell r="D140">
            <v>434</v>
          </cell>
          <cell r="N140">
            <v>39574</v>
          </cell>
          <cell r="O140">
            <v>56955</v>
          </cell>
          <cell r="P140">
            <v>105173.84</v>
          </cell>
        </row>
        <row r="141">
          <cell r="B141">
            <v>38905</v>
          </cell>
          <cell r="C141">
            <v>435</v>
          </cell>
          <cell r="D141">
            <v>435</v>
          </cell>
          <cell r="N141">
            <v>39573</v>
          </cell>
          <cell r="O141">
            <v>181200</v>
          </cell>
          <cell r="P141">
            <v>338828.64</v>
          </cell>
        </row>
        <row r="142">
          <cell r="B142">
            <v>38898</v>
          </cell>
          <cell r="C142">
            <v>433</v>
          </cell>
          <cell r="D142">
            <v>433</v>
          </cell>
          <cell r="N142">
            <v>39570</v>
          </cell>
          <cell r="O142">
            <v>92295</v>
          </cell>
          <cell r="P142">
            <v>174367.37</v>
          </cell>
        </row>
        <row r="143">
          <cell r="B143">
            <v>38891</v>
          </cell>
          <cell r="C143">
            <v>450</v>
          </cell>
          <cell r="D143">
            <v>450</v>
          </cell>
          <cell r="N143">
            <v>39569</v>
          </cell>
          <cell r="O143">
            <v>50027</v>
          </cell>
          <cell r="P143">
            <v>93243.76</v>
          </cell>
        </row>
        <row r="144">
          <cell r="B144">
            <v>38884</v>
          </cell>
          <cell r="C144">
            <v>420</v>
          </cell>
          <cell r="D144">
            <v>420</v>
          </cell>
          <cell r="N144">
            <v>39568</v>
          </cell>
          <cell r="O144">
            <v>116060</v>
          </cell>
          <cell r="P144">
            <v>213342.54</v>
          </cell>
        </row>
        <row r="145">
          <cell r="B145">
            <v>38877</v>
          </cell>
          <cell r="C145">
            <v>418</v>
          </cell>
          <cell r="D145">
            <v>418</v>
          </cell>
          <cell r="N145">
            <v>39567</v>
          </cell>
          <cell r="O145">
            <v>113537</v>
          </cell>
          <cell r="P145">
            <v>210094.16</v>
          </cell>
        </row>
        <row r="146">
          <cell r="B146">
            <v>38870</v>
          </cell>
          <cell r="C146">
            <v>418</v>
          </cell>
          <cell r="D146">
            <v>418</v>
          </cell>
          <cell r="N146">
            <v>39566</v>
          </cell>
          <cell r="O146">
            <v>40444</v>
          </cell>
          <cell r="P146">
            <v>75175.78</v>
          </cell>
        </row>
        <row r="147">
          <cell r="B147">
            <v>38863</v>
          </cell>
          <cell r="C147">
            <v>423</v>
          </cell>
          <cell r="D147">
            <v>423</v>
          </cell>
          <cell r="N147">
            <v>39563</v>
          </cell>
          <cell r="O147">
            <v>0</v>
          </cell>
          <cell r="P147">
            <v>0</v>
          </cell>
        </row>
        <row r="148">
          <cell r="B148">
            <v>38856</v>
          </cell>
          <cell r="C148">
            <v>429</v>
          </cell>
          <cell r="D148">
            <v>429</v>
          </cell>
          <cell r="N148">
            <v>39562</v>
          </cell>
          <cell r="O148">
            <v>12000</v>
          </cell>
          <cell r="P148">
            <v>21790</v>
          </cell>
        </row>
        <row r="149">
          <cell r="B149">
            <v>38849</v>
          </cell>
          <cell r="C149">
            <v>435</v>
          </cell>
          <cell r="D149">
            <v>435</v>
          </cell>
          <cell r="N149">
            <v>39561</v>
          </cell>
          <cell r="O149">
            <v>149530</v>
          </cell>
          <cell r="P149">
            <v>271918.59999999998</v>
          </cell>
        </row>
        <row r="150">
          <cell r="B150">
            <v>38842</v>
          </cell>
          <cell r="C150">
            <v>420</v>
          </cell>
          <cell r="D150">
            <v>420</v>
          </cell>
          <cell r="N150">
            <v>39560</v>
          </cell>
          <cell r="O150">
            <v>175818</v>
          </cell>
          <cell r="P150">
            <v>314569.64</v>
          </cell>
        </row>
        <row r="151">
          <cell r="B151">
            <v>38835</v>
          </cell>
          <cell r="C151">
            <v>407</v>
          </cell>
          <cell r="D151">
            <v>407</v>
          </cell>
          <cell r="N151">
            <v>39559</v>
          </cell>
          <cell r="O151">
            <v>21319</v>
          </cell>
          <cell r="P151">
            <v>39354.379999999997</v>
          </cell>
        </row>
        <row r="152">
          <cell r="B152">
            <v>38828</v>
          </cell>
          <cell r="C152">
            <v>395</v>
          </cell>
          <cell r="D152">
            <v>395</v>
          </cell>
          <cell r="N152">
            <v>39556</v>
          </cell>
          <cell r="O152">
            <v>73707</v>
          </cell>
          <cell r="P152">
            <v>136193.99</v>
          </cell>
        </row>
        <row r="153">
          <cell r="B153">
            <v>38821</v>
          </cell>
          <cell r="C153">
            <v>398</v>
          </cell>
          <cell r="D153">
            <v>398</v>
          </cell>
          <cell r="N153">
            <v>39555</v>
          </cell>
          <cell r="O153">
            <v>63102</v>
          </cell>
          <cell r="P153">
            <v>116719.92</v>
          </cell>
        </row>
        <row r="154">
          <cell r="B154">
            <v>38814</v>
          </cell>
          <cell r="C154">
            <v>403</v>
          </cell>
          <cell r="D154">
            <v>403</v>
          </cell>
          <cell r="N154">
            <v>39554</v>
          </cell>
          <cell r="O154">
            <v>149877</v>
          </cell>
          <cell r="P154">
            <v>271534.28999999998</v>
          </cell>
        </row>
        <row r="155">
          <cell r="B155">
            <v>38807</v>
          </cell>
          <cell r="C155">
            <v>405</v>
          </cell>
          <cell r="D155">
            <v>405</v>
          </cell>
          <cell r="N155">
            <v>39553</v>
          </cell>
          <cell r="O155">
            <v>136679</v>
          </cell>
          <cell r="P155">
            <v>228066.62</v>
          </cell>
        </row>
        <row r="156">
          <cell r="B156">
            <v>38800</v>
          </cell>
          <cell r="C156">
            <v>415</v>
          </cell>
          <cell r="D156">
            <v>415</v>
          </cell>
          <cell r="N156">
            <v>39552</v>
          </cell>
          <cell r="O156">
            <v>122542</v>
          </cell>
          <cell r="P156">
            <v>202677.57</v>
          </cell>
        </row>
        <row r="157">
          <cell r="B157">
            <v>38793</v>
          </cell>
          <cell r="C157">
            <v>390</v>
          </cell>
          <cell r="D157">
            <v>390</v>
          </cell>
          <cell r="N157">
            <v>39549</v>
          </cell>
          <cell r="O157">
            <v>142429</v>
          </cell>
          <cell r="P157">
            <v>242181.95</v>
          </cell>
        </row>
        <row r="158">
          <cell r="B158">
            <v>38786</v>
          </cell>
          <cell r="C158">
            <v>384</v>
          </cell>
          <cell r="D158">
            <v>384</v>
          </cell>
          <cell r="N158">
            <v>39548</v>
          </cell>
          <cell r="O158">
            <v>36813</v>
          </cell>
          <cell r="P158">
            <v>64611.28</v>
          </cell>
        </row>
        <row r="159">
          <cell r="B159">
            <v>38779</v>
          </cell>
          <cell r="C159">
            <v>350</v>
          </cell>
          <cell r="D159">
            <v>350</v>
          </cell>
          <cell r="N159">
            <v>39547</v>
          </cell>
          <cell r="O159">
            <v>39522</v>
          </cell>
          <cell r="P159">
            <v>71663.710000000006</v>
          </cell>
        </row>
        <row r="160">
          <cell r="B160">
            <v>38772</v>
          </cell>
          <cell r="C160">
            <v>333</v>
          </cell>
          <cell r="D160">
            <v>333</v>
          </cell>
          <cell r="N160">
            <v>39546</v>
          </cell>
          <cell r="O160">
            <v>143868</v>
          </cell>
          <cell r="P160">
            <v>265484.67</v>
          </cell>
        </row>
        <row r="161">
          <cell r="B161">
            <v>38765</v>
          </cell>
          <cell r="C161">
            <v>344</v>
          </cell>
          <cell r="D161">
            <v>344</v>
          </cell>
          <cell r="N161">
            <v>39545</v>
          </cell>
          <cell r="O161">
            <v>27758</v>
          </cell>
          <cell r="P161">
            <v>51842.36</v>
          </cell>
        </row>
        <row r="162">
          <cell r="B162">
            <v>38758</v>
          </cell>
          <cell r="C162">
            <v>337</v>
          </cell>
          <cell r="D162">
            <v>337</v>
          </cell>
          <cell r="N162">
            <v>39542</v>
          </cell>
          <cell r="O162">
            <v>90807</v>
          </cell>
          <cell r="P162">
            <v>173478.92</v>
          </cell>
        </row>
        <row r="163">
          <cell r="B163">
            <v>38751</v>
          </cell>
          <cell r="C163">
            <v>335</v>
          </cell>
          <cell r="D163">
            <v>335</v>
          </cell>
          <cell r="N163">
            <v>39541</v>
          </cell>
          <cell r="O163">
            <v>66228</v>
          </cell>
          <cell r="P163">
            <v>128410.04</v>
          </cell>
        </row>
        <row r="164">
          <cell r="B164">
            <v>38744</v>
          </cell>
          <cell r="C164">
            <v>322</v>
          </cell>
          <cell r="D164">
            <v>322</v>
          </cell>
          <cell r="N164">
            <v>39540</v>
          </cell>
          <cell r="O164">
            <v>333176</v>
          </cell>
          <cell r="P164">
            <v>645880.69999999995</v>
          </cell>
        </row>
        <row r="165">
          <cell r="B165">
            <v>38737</v>
          </cell>
          <cell r="C165">
            <v>331</v>
          </cell>
          <cell r="D165">
            <v>331</v>
          </cell>
          <cell r="N165">
            <v>39539</v>
          </cell>
          <cell r="O165">
            <v>948767</v>
          </cell>
          <cell r="P165">
            <v>1714200.39</v>
          </cell>
        </row>
        <row r="166">
          <cell r="B166">
            <v>38730</v>
          </cell>
          <cell r="C166">
            <v>334</v>
          </cell>
          <cell r="D166">
            <v>334</v>
          </cell>
          <cell r="N166">
            <v>39538</v>
          </cell>
          <cell r="O166">
            <v>463981</v>
          </cell>
          <cell r="P166">
            <v>860392.23</v>
          </cell>
        </row>
        <row r="167">
          <cell r="B167">
            <v>38723</v>
          </cell>
          <cell r="C167">
            <v>335</v>
          </cell>
          <cell r="D167">
            <v>335</v>
          </cell>
          <cell r="N167">
            <v>39535</v>
          </cell>
          <cell r="O167">
            <v>294967</v>
          </cell>
          <cell r="P167">
            <v>561100.77</v>
          </cell>
        </row>
        <row r="168">
          <cell r="B168">
            <v>38716</v>
          </cell>
          <cell r="C168">
            <v>337</v>
          </cell>
          <cell r="D168">
            <v>337</v>
          </cell>
          <cell r="N168">
            <v>39534</v>
          </cell>
          <cell r="O168">
            <v>272810</v>
          </cell>
          <cell r="P168">
            <v>515723.65</v>
          </cell>
        </row>
        <row r="169">
          <cell r="B169">
            <v>38709</v>
          </cell>
          <cell r="C169">
            <v>335</v>
          </cell>
          <cell r="D169">
            <v>335</v>
          </cell>
          <cell r="N169">
            <v>39533</v>
          </cell>
          <cell r="O169">
            <v>84490</v>
          </cell>
          <cell r="P169">
            <v>154735.1</v>
          </cell>
        </row>
        <row r="170">
          <cell r="B170">
            <v>38702</v>
          </cell>
          <cell r="C170">
            <v>344</v>
          </cell>
          <cell r="D170">
            <v>344</v>
          </cell>
          <cell r="N170">
            <v>39532</v>
          </cell>
          <cell r="O170">
            <v>202780</v>
          </cell>
          <cell r="P170">
            <v>371204.35</v>
          </cell>
        </row>
        <row r="171">
          <cell r="B171">
            <v>38695</v>
          </cell>
          <cell r="C171">
            <v>345</v>
          </cell>
          <cell r="D171">
            <v>345</v>
          </cell>
          <cell r="N171">
            <v>39531</v>
          </cell>
          <cell r="O171">
            <v>0</v>
          </cell>
          <cell r="P171">
            <v>0</v>
          </cell>
        </row>
        <row r="172">
          <cell r="B172">
            <v>38688</v>
          </cell>
          <cell r="C172">
            <v>330</v>
          </cell>
          <cell r="D172">
            <v>330</v>
          </cell>
          <cell r="N172">
            <v>39528</v>
          </cell>
          <cell r="O172">
            <v>0</v>
          </cell>
          <cell r="P172">
            <v>0</v>
          </cell>
        </row>
        <row r="173">
          <cell r="B173">
            <v>38681</v>
          </cell>
          <cell r="C173">
            <v>332</v>
          </cell>
          <cell r="D173">
            <v>332</v>
          </cell>
          <cell r="N173">
            <v>39527</v>
          </cell>
          <cell r="O173">
            <v>1611301</v>
          </cell>
          <cell r="P173">
            <v>2658836.4500000002</v>
          </cell>
        </row>
        <row r="174">
          <cell r="B174">
            <v>38674</v>
          </cell>
          <cell r="C174">
            <v>326</v>
          </cell>
          <cell r="D174">
            <v>326</v>
          </cell>
          <cell r="N174">
            <v>39526</v>
          </cell>
          <cell r="O174">
            <v>6727639</v>
          </cell>
          <cell r="P174">
            <v>10766491.27</v>
          </cell>
        </row>
        <row r="175">
          <cell r="B175">
            <v>38667</v>
          </cell>
          <cell r="C175">
            <v>325</v>
          </cell>
          <cell r="D175">
            <v>325</v>
          </cell>
          <cell r="N175">
            <v>39525</v>
          </cell>
          <cell r="O175">
            <v>130180</v>
          </cell>
          <cell r="P175">
            <v>195969.23</v>
          </cell>
        </row>
        <row r="176">
          <cell r="B176">
            <v>38660</v>
          </cell>
          <cell r="C176">
            <v>330</v>
          </cell>
          <cell r="D176">
            <v>330</v>
          </cell>
          <cell r="N176">
            <v>39524</v>
          </cell>
          <cell r="O176">
            <v>270867</v>
          </cell>
          <cell r="P176">
            <v>413442.85</v>
          </cell>
        </row>
        <row r="177">
          <cell r="B177">
            <v>38653</v>
          </cell>
          <cell r="C177">
            <v>318</v>
          </cell>
          <cell r="D177">
            <v>318</v>
          </cell>
          <cell r="N177">
            <v>39521</v>
          </cell>
          <cell r="O177">
            <v>153640</v>
          </cell>
          <cell r="P177">
            <v>257636.37</v>
          </cell>
        </row>
        <row r="178">
          <cell r="B178">
            <v>38646</v>
          </cell>
          <cell r="C178">
            <v>305</v>
          </cell>
          <cell r="D178">
            <v>305</v>
          </cell>
          <cell r="N178">
            <v>39520</v>
          </cell>
          <cell r="O178">
            <v>40390</v>
          </cell>
          <cell r="P178">
            <v>68613</v>
          </cell>
        </row>
        <row r="179">
          <cell r="B179">
            <v>38639</v>
          </cell>
          <cell r="C179">
            <v>319</v>
          </cell>
          <cell r="D179">
            <v>319</v>
          </cell>
          <cell r="N179">
            <v>39519</v>
          </cell>
          <cell r="O179">
            <v>504619</v>
          </cell>
          <cell r="P179">
            <v>869266.18</v>
          </cell>
        </row>
        <row r="180">
          <cell r="B180">
            <v>38632</v>
          </cell>
          <cell r="C180">
            <v>330</v>
          </cell>
          <cell r="D180">
            <v>330</v>
          </cell>
          <cell r="N180">
            <v>39518</v>
          </cell>
          <cell r="O180">
            <v>304392</v>
          </cell>
          <cell r="P180">
            <v>513767.12</v>
          </cell>
        </row>
        <row r="181">
          <cell r="B181">
            <v>38625</v>
          </cell>
          <cell r="C181">
            <v>327</v>
          </cell>
          <cell r="D181">
            <v>327</v>
          </cell>
          <cell r="N181">
            <v>39517</v>
          </cell>
          <cell r="O181">
            <v>144278</v>
          </cell>
          <cell r="P181">
            <v>259539.65</v>
          </cell>
        </row>
        <row r="182">
          <cell r="B182">
            <v>38618</v>
          </cell>
          <cell r="C182">
            <v>340</v>
          </cell>
          <cell r="D182">
            <v>340</v>
          </cell>
          <cell r="N182">
            <v>39514</v>
          </cell>
          <cell r="O182">
            <v>247903</v>
          </cell>
          <cell r="P182">
            <v>457914.08</v>
          </cell>
        </row>
        <row r="183">
          <cell r="B183">
            <v>38611</v>
          </cell>
          <cell r="C183">
            <v>332</v>
          </cell>
          <cell r="D183">
            <v>332</v>
          </cell>
          <cell r="N183">
            <v>39513</v>
          </cell>
          <cell r="O183">
            <v>153064</v>
          </cell>
          <cell r="P183">
            <v>289569.90999999997</v>
          </cell>
        </row>
        <row r="184">
          <cell r="B184">
            <v>38604</v>
          </cell>
          <cell r="C184">
            <v>340</v>
          </cell>
          <cell r="D184">
            <v>340</v>
          </cell>
          <cell r="N184">
            <v>39512</v>
          </cell>
          <cell r="O184">
            <v>646022</v>
          </cell>
          <cell r="P184">
            <v>1232879.73</v>
          </cell>
        </row>
        <row r="185">
          <cell r="B185">
            <v>38597</v>
          </cell>
          <cell r="C185">
            <v>329</v>
          </cell>
          <cell r="D185">
            <v>329</v>
          </cell>
          <cell r="N185">
            <v>39511</v>
          </cell>
          <cell r="O185">
            <v>93050</v>
          </cell>
          <cell r="P185">
            <v>175984.4</v>
          </cell>
        </row>
        <row r="186">
          <cell r="B186">
            <v>38590</v>
          </cell>
          <cell r="C186">
            <v>315</v>
          </cell>
          <cell r="D186">
            <v>315</v>
          </cell>
          <cell r="N186">
            <v>39510</v>
          </cell>
          <cell r="O186">
            <v>227875</v>
          </cell>
          <cell r="P186">
            <v>427616.6</v>
          </cell>
        </row>
        <row r="187">
          <cell r="B187">
            <v>38583</v>
          </cell>
          <cell r="C187">
            <v>292</v>
          </cell>
          <cell r="D187">
            <v>292</v>
          </cell>
          <cell r="N187">
            <v>39507</v>
          </cell>
          <cell r="O187">
            <v>110632</v>
          </cell>
          <cell r="P187">
            <v>208373.77</v>
          </cell>
        </row>
        <row r="188">
          <cell r="B188">
            <v>38576</v>
          </cell>
          <cell r="C188">
            <v>291</v>
          </cell>
          <cell r="D188">
            <v>291</v>
          </cell>
          <cell r="N188">
            <v>39506</v>
          </cell>
          <cell r="O188">
            <v>109650</v>
          </cell>
          <cell r="P188">
            <v>210204.77</v>
          </cell>
        </row>
        <row r="189">
          <cell r="B189">
            <v>38569</v>
          </cell>
          <cell r="C189">
            <v>278</v>
          </cell>
          <cell r="D189">
            <v>278</v>
          </cell>
          <cell r="N189">
            <v>39505</v>
          </cell>
          <cell r="O189">
            <v>69200</v>
          </cell>
          <cell r="P189">
            <v>132923</v>
          </cell>
        </row>
        <row r="190">
          <cell r="B190">
            <v>38562</v>
          </cell>
          <cell r="C190">
            <v>285</v>
          </cell>
          <cell r="D190">
            <v>285</v>
          </cell>
          <cell r="N190">
            <v>39504</v>
          </cell>
          <cell r="O190">
            <v>131100</v>
          </cell>
          <cell r="P190">
            <v>250234.02</v>
          </cell>
        </row>
        <row r="191">
          <cell r="B191">
            <v>38555</v>
          </cell>
          <cell r="C191">
            <v>282</v>
          </cell>
          <cell r="D191">
            <v>282</v>
          </cell>
          <cell r="N191">
            <v>39503</v>
          </cell>
          <cell r="O191">
            <v>114634</v>
          </cell>
          <cell r="P191">
            <v>215386.32</v>
          </cell>
        </row>
        <row r="192">
          <cell r="B192">
            <v>38548</v>
          </cell>
          <cell r="C192">
            <v>271</v>
          </cell>
          <cell r="D192">
            <v>271</v>
          </cell>
          <cell r="N192">
            <v>39500</v>
          </cell>
          <cell r="O192">
            <v>119436</v>
          </cell>
          <cell r="P192">
            <v>221407.54</v>
          </cell>
        </row>
        <row r="193">
          <cell r="B193">
            <v>38541</v>
          </cell>
          <cell r="C193">
            <v>275</v>
          </cell>
          <cell r="D193">
            <v>275</v>
          </cell>
          <cell r="N193">
            <v>39499</v>
          </cell>
          <cell r="O193">
            <v>1009989</v>
          </cell>
          <cell r="P193">
            <v>1901563.14</v>
          </cell>
        </row>
        <row r="194">
          <cell r="B194">
            <v>38534</v>
          </cell>
          <cell r="C194">
            <v>292</v>
          </cell>
          <cell r="D194">
            <v>292</v>
          </cell>
          <cell r="N194">
            <v>39498</v>
          </cell>
          <cell r="O194">
            <v>252349</v>
          </cell>
          <cell r="P194">
            <v>481696.59</v>
          </cell>
        </row>
        <row r="195">
          <cell r="B195">
            <v>38527</v>
          </cell>
          <cell r="C195">
            <v>270</v>
          </cell>
          <cell r="D195">
            <v>270</v>
          </cell>
          <cell r="N195">
            <v>39497</v>
          </cell>
          <cell r="O195">
            <v>154079</v>
          </cell>
          <cell r="P195">
            <v>300544.06</v>
          </cell>
        </row>
        <row r="196">
          <cell r="B196">
            <v>38520</v>
          </cell>
          <cell r="C196">
            <v>277</v>
          </cell>
          <cell r="D196">
            <v>277</v>
          </cell>
          <cell r="N196">
            <v>39496</v>
          </cell>
          <cell r="O196">
            <v>150038</v>
          </cell>
          <cell r="P196">
            <v>294378.73</v>
          </cell>
        </row>
        <row r="197">
          <cell r="B197">
            <v>38513</v>
          </cell>
          <cell r="C197">
            <v>266</v>
          </cell>
          <cell r="D197">
            <v>266</v>
          </cell>
          <cell r="N197">
            <v>39493</v>
          </cell>
          <cell r="O197">
            <v>476929</v>
          </cell>
          <cell r="P197">
            <v>909776.18</v>
          </cell>
        </row>
        <row r="198">
          <cell r="B198">
            <v>38506</v>
          </cell>
          <cell r="C198">
            <v>276</v>
          </cell>
          <cell r="D198">
            <v>276</v>
          </cell>
          <cell r="N198">
            <v>39492</v>
          </cell>
          <cell r="O198">
            <v>457265</v>
          </cell>
          <cell r="P198">
            <v>907269.15</v>
          </cell>
        </row>
        <row r="199">
          <cell r="B199">
            <v>38499</v>
          </cell>
          <cell r="C199">
            <v>270</v>
          </cell>
          <cell r="D199">
            <v>270</v>
          </cell>
          <cell r="N199">
            <v>39491</v>
          </cell>
          <cell r="O199">
            <v>43000</v>
          </cell>
          <cell r="P199">
            <v>94000</v>
          </cell>
        </row>
        <row r="200">
          <cell r="B200">
            <v>38492</v>
          </cell>
          <cell r="C200">
            <v>279</v>
          </cell>
          <cell r="D200">
            <v>279</v>
          </cell>
          <cell r="N200">
            <v>39490</v>
          </cell>
          <cell r="O200">
            <v>219878</v>
          </cell>
          <cell r="P200">
            <v>484251.88</v>
          </cell>
        </row>
        <row r="201">
          <cell r="B201">
            <v>38485</v>
          </cell>
          <cell r="C201">
            <v>270</v>
          </cell>
          <cell r="D201">
            <v>270</v>
          </cell>
          <cell r="N201">
            <v>39489</v>
          </cell>
          <cell r="O201">
            <v>66006</v>
          </cell>
          <cell r="P201">
            <v>149069.63</v>
          </cell>
        </row>
        <row r="202">
          <cell r="B202">
            <v>38478</v>
          </cell>
          <cell r="C202">
            <v>237</v>
          </cell>
          <cell r="D202">
            <v>237</v>
          </cell>
          <cell r="N202">
            <v>39486</v>
          </cell>
          <cell r="O202">
            <v>49415</v>
          </cell>
          <cell r="P202">
            <v>115022.77</v>
          </cell>
        </row>
        <row r="203">
          <cell r="B203">
            <v>38471</v>
          </cell>
          <cell r="C203">
            <v>260</v>
          </cell>
          <cell r="D203">
            <v>260</v>
          </cell>
          <cell r="N203">
            <v>39485</v>
          </cell>
          <cell r="O203">
            <v>127060</v>
          </cell>
          <cell r="P203">
            <v>298176.78999999998</v>
          </cell>
        </row>
        <row r="204">
          <cell r="B204">
            <v>38464</v>
          </cell>
          <cell r="C204">
            <v>293</v>
          </cell>
          <cell r="D204">
            <v>293</v>
          </cell>
          <cell r="N204">
            <v>39484</v>
          </cell>
          <cell r="O204">
            <v>0</v>
          </cell>
          <cell r="P204">
            <v>0</v>
          </cell>
        </row>
        <row r="205">
          <cell r="B205">
            <v>38457</v>
          </cell>
          <cell r="C205">
            <v>279</v>
          </cell>
          <cell r="D205">
            <v>279</v>
          </cell>
          <cell r="N205">
            <v>39483</v>
          </cell>
          <cell r="O205">
            <v>18645</v>
          </cell>
          <cell r="P205">
            <v>45274.51</v>
          </cell>
        </row>
        <row r="206">
          <cell r="B206">
            <v>38450</v>
          </cell>
          <cell r="C206">
            <v>320</v>
          </cell>
          <cell r="D206">
            <v>320</v>
          </cell>
          <cell r="N206">
            <v>39482</v>
          </cell>
          <cell r="O206">
            <v>51597</v>
          </cell>
          <cell r="P206">
            <v>125407.33</v>
          </cell>
        </row>
        <row r="207">
          <cell r="B207">
            <v>38443</v>
          </cell>
          <cell r="C207">
            <v>318</v>
          </cell>
          <cell r="D207">
            <v>318</v>
          </cell>
          <cell r="N207">
            <v>39479</v>
          </cell>
          <cell r="O207">
            <v>33232</v>
          </cell>
          <cell r="P207">
            <v>80629.759999999995</v>
          </cell>
        </row>
        <row r="208">
          <cell r="B208">
            <v>38436</v>
          </cell>
          <cell r="C208">
            <v>331</v>
          </cell>
          <cell r="D208">
            <v>331</v>
          </cell>
          <cell r="N208">
            <v>39478</v>
          </cell>
          <cell r="O208">
            <v>1572879</v>
          </cell>
          <cell r="P208">
            <v>3824708.42</v>
          </cell>
        </row>
        <row r="209">
          <cell r="B209">
            <v>38429</v>
          </cell>
          <cell r="C209">
            <v>330</v>
          </cell>
          <cell r="D209">
            <v>330</v>
          </cell>
          <cell r="N209">
            <v>39477</v>
          </cell>
          <cell r="O209">
            <v>213621</v>
          </cell>
          <cell r="P209">
            <v>523917.87</v>
          </cell>
        </row>
        <row r="210">
          <cell r="B210">
            <v>38422</v>
          </cell>
          <cell r="C210">
            <v>349</v>
          </cell>
          <cell r="D210">
            <v>349</v>
          </cell>
          <cell r="N210">
            <v>39476</v>
          </cell>
          <cell r="O210">
            <v>199598</v>
          </cell>
          <cell r="P210">
            <v>487259.52</v>
          </cell>
        </row>
        <row r="211">
          <cell r="B211">
            <v>38415</v>
          </cell>
          <cell r="C211">
            <v>330</v>
          </cell>
          <cell r="D211">
            <v>330</v>
          </cell>
          <cell r="N211">
            <v>39475</v>
          </cell>
          <cell r="O211">
            <v>12946</v>
          </cell>
          <cell r="P211">
            <v>31629.34</v>
          </cell>
        </row>
        <row r="212">
          <cell r="B212">
            <v>38408</v>
          </cell>
          <cell r="C212">
            <v>342</v>
          </cell>
          <cell r="D212">
            <v>342</v>
          </cell>
          <cell r="N212">
            <v>39472</v>
          </cell>
          <cell r="O212">
            <v>178544</v>
          </cell>
          <cell r="P212">
            <v>438530.25</v>
          </cell>
        </row>
        <row r="213">
          <cell r="B213">
            <v>38401</v>
          </cell>
          <cell r="C213">
            <v>343</v>
          </cell>
          <cell r="D213">
            <v>343</v>
          </cell>
          <cell r="N213">
            <v>39471</v>
          </cell>
          <cell r="O213">
            <v>201901</v>
          </cell>
          <cell r="P213">
            <v>488518.40000000002</v>
          </cell>
        </row>
        <row r="214">
          <cell r="B214">
            <v>38394</v>
          </cell>
          <cell r="C214">
            <v>294</v>
          </cell>
          <cell r="D214">
            <v>294</v>
          </cell>
          <cell r="N214">
            <v>39470</v>
          </cell>
          <cell r="O214">
            <v>687068</v>
          </cell>
          <cell r="P214">
            <v>1633271.78</v>
          </cell>
        </row>
        <row r="215">
          <cell r="B215">
            <v>38387</v>
          </cell>
          <cell r="C215">
            <v>307</v>
          </cell>
          <cell r="D215">
            <v>307</v>
          </cell>
          <cell r="N215">
            <v>39469</v>
          </cell>
          <cell r="O215">
            <v>240610</v>
          </cell>
          <cell r="P215">
            <v>542587.32999999996</v>
          </cell>
        </row>
        <row r="216">
          <cell r="B216">
            <v>38380</v>
          </cell>
          <cell r="C216">
            <v>310</v>
          </cell>
          <cell r="D216">
            <v>310</v>
          </cell>
          <cell r="N216">
            <v>39468</v>
          </cell>
          <cell r="O216">
            <v>186373</v>
          </cell>
          <cell r="P216">
            <v>424926.3</v>
          </cell>
        </row>
        <row r="217">
          <cell r="B217">
            <v>38373</v>
          </cell>
          <cell r="C217">
            <v>310</v>
          </cell>
          <cell r="D217">
            <v>310</v>
          </cell>
          <cell r="N217">
            <v>39465</v>
          </cell>
          <cell r="O217">
            <v>194982</v>
          </cell>
          <cell r="P217">
            <v>451823.5</v>
          </cell>
        </row>
        <row r="218">
          <cell r="B218">
            <v>38366</v>
          </cell>
          <cell r="C218">
            <v>280</v>
          </cell>
          <cell r="D218">
            <v>280</v>
          </cell>
          <cell r="N218">
            <v>39464</v>
          </cell>
          <cell r="O218">
            <v>442627</v>
          </cell>
          <cell r="P218">
            <v>1049227.33</v>
          </cell>
        </row>
        <row r="219">
          <cell r="B219">
            <v>38359</v>
          </cell>
          <cell r="C219">
            <v>269</v>
          </cell>
          <cell r="D219">
            <v>269</v>
          </cell>
          <cell r="N219">
            <v>39463</v>
          </cell>
          <cell r="O219">
            <v>371685</v>
          </cell>
          <cell r="P219">
            <v>884823.37</v>
          </cell>
        </row>
        <row r="220">
          <cell r="B220">
            <v>38352</v>
          </cell>
          <cell r="C220">
            <v>276</v>
          </cell>
          <cell r="D220">
            <v>276</v>
          </cell>
          <cell r="N220">
            <v>39462</v>
          </cell>
          <cell r="O220">
            <v>180882</v>
          </cell>
          <cell r="P220">
            <v>444573.42</v>
          </cell>
        </row>
        <row r="221">
          <cell r="B221">
            <v>38345</v>
          </cell>
          <cell r="C221">
            <v>272</v>
          </cell>
          <cell r="D221">
            <v>272</v>
          </cell>
          <cell r="N221">
            <v>39461</v>
          </cell>
          <cell r="O221">
            <v>78991</v>
          </cell>
          <cell r="P221">
            <v>189860.15</v>
          </cell>
        </row>
        <row r="222">
          <cell r="B222">
            <v>38338</v>
          </cell>
          <cell r="C222">
            <v>250</v>
          </cell>
          <cell r="D222">
            <v>250</v>
          </cell>
          <cell r="N222">
            <v>39458</v>
          </cell>
          <cell r="O222">
            <v>182551</v>
          </cell>
          <cell r="P222">
            <v>445106.92</v>
          </cell>
        </row>
        <row r="223">
          <cell r="B223">
            <v>38331</v>
          </cell>
          <cell r="C223">
            <v>252</v>
          </cell>
          <cell r="D223">
            <v>252</v>
          </cell>
          <cell r="N223">
            <v>39457</v>
          </cell>
          <cell r="O223">
            <v>77197</v>
          </cell>
          <cell r="P223">
            <v>189295.21</v>
          </cell>
        </row>
        <row r="224">
          <cell r="B224">
            <v>38324</v>
          </cell>
          <cell r="C224">
            <v>245</v>
          </cell>
          <cell r="D224">
            <v>245</v>
          </cell>
          <cell r="N224">
            <v>39456</v>
          </cell>
          <cell r="O224">
            <v>583962</v>
          </cell>
          <cell r="P224">
            <v>1433856.36</v>
          </cell>
        </row>
        <row r="225">
          <cell r="B225">
            <v>38317</v>
          </cell>
          <cell r="C225">
            <v>238</v>
          </cell>
          <cell r="D225">
            <v>238</v>
          </cell>
          <cell r="N225">
            <v>39455</v>
          </cell>
          <cell r="O225">
            <v>220428</v>
          </cell>
          <cell r="P225">
            <v>563197.97</v>
          </cell>
        </row>
        <row r="226">
          <cell r="B226">
            <v>38310</v>
          </cell>
          <cell r="C226">
            <v>232</v>
          </cell>
          <cell r="D226">
            <v>232</v>
          </cell>
          <cell r="N226">
            <v>39454</v>
          </cell>
          <cell r="O226">
            <v>52049</v>
          </cell>
          <cell r="P226">
            <v>133812.12</v>
          </cell>
        </row>
        <row r="227">
          <cell r="B227">
            <v>38303</v>
          </cell>
          <cell r="C227">
            <v>232</v>
          </cell>
          <cell r="D227">
            <v>232</v>
          </cell>
          <cell r="N227">
            <v>39451</v>
          </cell>
          <cell r="O227">
            <v>43226</v>
          </cell>
          <cell r="P227">
            <v>111430.45</v>
          </cell>
        </row>
        <row r="228">
          <cell r="B228">
            <v>38296</v>
          </cell>
          <cell r="C228">
            <v>218</v>
          </cell>
          <cell r="D228">
            <v>218</v>
          </cell>
          <cell r="N228">
            <v>39450</v>
          </cell>
          <cell r="O228">
            <v>68463</v>
          </cell>
          <cell r="P228">
            <v>178281.79</v>
          </cell>
        </row>
        <row r="229">
          <cell r="B229">
            <v>38289</v>
          </cell>
          <cell r="C229">
            <v>211</v>
          </cell>
          <cell r="D229">
            <v>211</v>
          </cell>
          <cell r="N229">
            <v>39449</v>
          </cell>
          <cell r="O229">
            <v>0</v>
          </cell>
          <cell r="P229">
            <v>0</v>
          </cell>
        </row>
        <row r="230">
          <cell r="B230">
            <v>38282</v>
          </cell>
          <cell r="C230">
            <v>211</v>
          </cell>
          <cell r="D230">
            <v>211</v>
          </cell>
          <cell r="N230">
            <v>39448</v>
          </cell>
          <cell r="O230">
            <v>0</v>
          </cell>
          <cell r="P230">
            <v>0</v>
          </cell>
        </row>
        <row r="231">
          <cell r="B231">
            <v>38275</v>
          </cell>
          <cell r="C231">
            <v>212</v>
          </cell>
          <cell r="D231">
            <v>212</v>
          </cell>
          <cell r="N231">
            <v>39447</v>
          </cell>
          <cell r="O231">
            <v>125686</v>
          </cell>
          <cell r="P231">
            <v>331929.38</v>
          </cell>
        </row>
        <row r="232">
          <cell r="B232">
            <v>38268</v>
          </cell>
          <cell r="C232">
            <v>223</v>
          </cell>
          <cell r="D232">
            <v>223</v>
          </cell>
          <cell r="N232">
            <v>39444</v>
          </cell>
          <cell r="O232">
            <v>655637</v>
          </cell>
          <cell r="P232">
            <v>1673644.97</v>
          </cell>
        </row>
        <row r="233">
          <cell r="B233">
            <v>38261</v>
          </cell>
          <cell r="C233">
            <v>210</v>
          </cell>
          <cell r="D233">
            <v>210</v>
          </cell>
          <cell r="N233">
            <v>39443</v>
          </cell>
          <cell r="O233">
            <v>434229</v>
          </cell>
          <cell r="P233">
            <v>1106341.8799999999</v>
          </cell>
        </row>
        <row r="234">
          <cell r="B234">
            <v>38254</v>
          </cell>
          <cell r="C234">
            <v>210</v>
          </cell>
          <cell r="D234">
            <v>210</v>
          </cell>
          <cell r="N234">
            <v>39442</v>
          </cell>
          <cell r="O234">
            <v>0</v>
          </cell>
          <cell r="P234">
            <v>0</v>
          </cell>
        </row>
        <row r="235">
          <cell r="B235">
            <v>38247</v>
          </cell>
          <cell r="C235">
            <v>200</v>
          </cell>
          <cell r="D235">
            <v>200</v>
          </cell>
          <cell r="N235">
            <v>39441</v>
          </cell>
          <cell r="O235">
            <v>0</v>
          </cell>
          <cell r="P235">
            <v>0</v>
          </cell>
        </row>
        <row r="236">
          <cell r="B236">
            <v>38240</v>
          </cell>
          <cell r="C236">
            <v>182</v>
          </cell>
          <cell r="D236">
            <v>182</v>
          </cell>
          <cell r="N236">
            <v>39440</v>
          </cell>
          <cell r="O236">
            <v>71415</v>
          </cell>
          <cell r="P236">
            <v>179635.65</v>
          </cell>
        </row>
        <row r="237">
          <cell r="B237">
            <v>38233</v>
          </cell>
          <cell r="C237">
            <v>178</v>
          </cell>
          <cell r="D237">
            <v>178</v>
          </cell>
          <cell r="N237">
            <v>39437</v>
          </cell>
          <cell r="O237">
            <v>484322</v>
          </cell>
          <cell r="P237">
            <v>1213812.44</v>
          </cell>
        </row>
        <row r="238">
          <cell r="B238">
            <v>38226</v>
          </cell>
          <cell r="C238">
            <v>180</v>
          </cell>
          <cell r="D238">
            <v>180</v>
          </cell>
          <cell r="N238">
            <v>39436</v>
          </cell>
          <cell r="O238">
            <v>342173</v>
          </cell>
          <cell r="P238">
            <v>855426.33</v>
          </cell>
        </row>
        <row r="239">
          <cell r="B239">
            <v>38219</v>
          </cell>
          <cell r="C239">
            <v>173</v>
          </cell>
          <cell r="D239">
            <v>173</v>
          </cell>
          <cell r="N239">
            <v>39435</v>
          </cell>
          <cell r="O239">
            <v>128729</v>
          </cell>
          <cell r="P239">
            <v>321133.37</v>
          </cell>
        </row>
        <row r="240">
          <cell r="B240">
            <v>38212</v>
          </cell>
          <cell r="C240">
            <v>174</v>
          </cell>
          <cell r="D240">
            <v>174</v>
          </cell>
          <cell r="N240">
            <v>39434</v>
          </cell>
          <cell r="O240">
            <v>471682</v>
          </cell>
          <cell r="P240">
            <v>1141958.96</v>
          </cell>
        </row>
        <row r="241">
          <cell r="B241">
            <v>38205</v>
          </cell>
          <cell r="C241">
            <v>172</v>
          </cell>
          <cell r="D241">
            <v>172</v>
          </cell>
          <cell r="N241">
            <v>39433</v>
          </cell>
          <cell r="O241">
            <v>131892</v>
          </cell>
          <cell r="P241">
            <v>324101.76000000001</v>
          </cell>
        </row>
        <row r="242">
          <cell r="B242">
            <v>38198</v>
          </cell>
          <cell r="C242">
            <v>176</v>
          </cell>
          <cell r="D242">
            <v>176</v>
          </cell>
          <cell r="N242">
            <v>39430</v>
          </cell>
          <cell r="O242">
            <v>1216267</v>
          </cell>
          <cell r="P242">
            <v>3016806.24</v>
          </cell>
        </row>
        <row r="243">
          <cell r="B243">
            <v>38191</v>
          </cell>
          <cell r="C243">
            <v>155</v>
          </cell>
          <cell r="D243">
            <v>155</v>
          </cell>
          <cell r="N243">
            <v>39429</v>
          </cell>
          <cell r="O243">
            <v>59130</v>
          </cell>
          <cell r="P243">
            <v>147962.20000000001</v>
          </cell>
        </row>
        <row r="244">
          <cell r="B244">
            <v>38184</v>
          </cell>
          <cell r="C244">
            <v>135</v>
          </cell>
          <cell r="D244">
            <v>135</v>
          </cell>
          <cell r="N244">
            <v>39428</v>
          </cell>
          <cell r="O244">
            <v>150258</v>
          </cell>
          <cell r="P244">
            <v>380890.54</v>
          </cell>
        </row>
        <row r="245">
          <cell r="B245">
            <v>38177</v>
          </cell>
          <cell r="C245">
            <v>135</v>
          </cell>
          <cell r="D245">
            <v>135</v>
          </cell>
          <cell r="N245">
            <v>39427</v>
          </cell>
          <cell r="O245">
            <v>186786</v>
          </cell>
          <cell r="P245">
            <v>480163.07</v>
          </cell>
        </row>
        <row r="246">
          <cell r="B246">
            <v>38170</v>
          </cell>
          <cell r="C246">
            <v>140</v>
          </cell>
          <cell r="D246">
            <v>140</v>
          </cell>
          <cell r="N246">
            <v>39426</v>
          </cell>
          <cell r="O246">
            <v>188122</v>
          </cell>
          <cell r="P246">
            <v>490053.68</v>
          </cell>
        </row>
        <row r="247">
          <cell r="B247">
            <v>38163</v>
          </cell>
          <cell r="C247">
            <v>139</v>
          </cell>
          <cell r="D247">
            <v>139</v>
          </cell>
          <cell r="N247">
            <v>39423</v>
          </cell>
          <cell r="O247">
            <v>132090</v>
          </cell>
          <cell r="P247">
            <v>352093.04</v>
          </cell>
        </row>
        <row r="248">
          <cell r="B248">
            <v>38156</v>
          </cell>
          <cell r="C248">
            <v>141</v>
          </cell>
          <cell r="D248">
            <v>141</v>
          </cell>
          <cell r="N248">
            <v>39422</v>
          </cell>
          <cell r="O248">
            <v>63681</v>
          </cell>
          <cell r="P248">
            <v>171218.59</v>
          </cell>
        </row>
        <row r="249">
          <cell r="B249">
            <v>38149</v>
          </cell>
          <cell r="C249">
            <v>136</v>
          </cell>
          <cell r="D249">
            <v>136</v>
          </cell>
          <cell r="N249">
            <v>39421</v>
          </cell>
          <cell r="O249">
            <v>11990</v>
          </cell>
          <cell r="P249">
            <v>32205.200000000001</v>
          </cell>
        </row>
        <row r="250">
          <cell r="D250" t="str">
            <v>.</v>
          </cell>
          <cell r="N250">
            <v>39420</v>
          </cell>
          <cell r="O250">
            <v>53544</v>
          </cell>
          <cell r="P250">
            <v>144114.79999999999</v>
          </cell>
        </row>
        <row r="251">
          <cell r="D251" t="str">
            <v>.</v>
          </cell>
          <cell r="N251">
            <v>39419</v>
          </cell>
          <cell r="O251">
            <v>437705</v>
          </cell>
          <cell r="P251">
            <v>1180684.54</v>
          </cell>
        </row>
        <row r="252">
          <cell r="D252" t="str">
            <v>.</v>
          </cell>
          <cell r="N252">
            <v>39416</v>
          </cell>
          <cell r="O252">
            <v>1631340</v>
          </cell>
          <cell r="P252">
            <v>4340883.57</v>
          </cell>
        </row>
        <row r="253">
          <cell r="D253" t="str">
            <v>.</v>
          </cell>
          <cell r="N253">
            <v>39415</v>
          </cell>
          <cell r="O253">
            <v>204568</v>
          </cell>
          <cell r="P253">
            <v>544370.88</v>
          </cell>
        </row>
        <row r="254">
          <cell r="D254" t="str">
            <v>.</v>
          </cell>
          <cell r="N254">
            <v>39414</v>
          </cell>
          <cell r="O254">
            <v>1194395</v>
          </cell>
          <cell r="P254">
            <v>3175609.75</v>
          </cell>
        </row>
        <row r="255">
          <cell r="D255" t="str">
            <v>.</v>
          </cell>
          <cell r="N255">
            <v>39413</v>
          </cell>
          <cell r="O255">
            <v>274315</v>
          </cell>
          <cell r="P255">
            <v>724556.89</v>
          </cell>
        </row>
        <row r="256">
          <cell r="D256" t="str">
            <v>.</v>
          </cell>
          <cell r="N256">
            <v>39412</v>
          </cell>
          <cell r="O256">
            <v>66980</v>
          </cell>
          <cell r="P256">
            <v>179605.1</v>
          </cell>
        </row>
        <row r="257">
          <cell r="D257" t="str">
            <v>.</v>
          </cell>
          <cell r="N257">
            <v>39409</v>
          </cell>
          <cell r="O257">
            <v>195186</v>
          </cell>
          <cell r="P257">
            <v>525720.99</v>
          </cell>
        </row>
        <row r="258">
          <cell r="D258" t="str">
            <v>.</v>
          </cell>
          <cell r="N258">
            <v>39408</v>
          </cell>
          <cell r="O258">
            <v>110750</v>
          </cell>
          <cell r="P258">
            <v>302536.51</v>
          </cell>
        </row>
        <row r="259">
          <cell r="D259" t="str">
            <v>.</v>
          </cell>
          <cell r="N259">
            <v>39407</v>
          </cell>
          <cell r="O259">
            <v>232701</v>
          </cell>
          <cell r="P259">
            <v>651976.05000000005</v>
          </cell>
        </row>
        <row r="260">
          <cell r="D260" t="str">
            <v>.</v>
          </cell>
          <cell r="N260">
            <v>39406</v>
          </cell>
          <cell r="O260">
            <v>373842</v>
          </cell>
          <cell r="P260">
            <v>1030883.31</v>
          </cell>
        </row>
        <row r="261">
          <cell r="D261" t="str">
            <v>.</v>
          </cell>
          <cell r="N261">
            <v>39405</v>
          </cell>
          <cell r="O261">
            <v>35200</v>
          </cell>
          <cell r="P261">
            <v>101261</v>
          </cell>
        </row>
        <row r="262">
          <cell r="D262" t="str">
            <v>.</v>
          </cell>
          <cell r="N262">
            <v>39402</v>
          </cell>
          <cell r="O262">
            <v>275665</v>
          </cell>
          <cell r="P262">
            <v>798695.55</v>
          </cell>
        </row>
        <row r="263">
          <cell r="D263" t="str">
            <v>.</v>
          </cell>
          <cell r="N263">
            <v>39401</v>
          </cell>
          <cell r="O263">
            <v>278975</v>
          </cell>
          <cell r="P263">
            <v>809931.87</v>
          </cell>
        </row>
        <row r="264">
          <cell r="D264" t="str">
            <v>.</v>
          </cell>
          <cell r="N264">
            <v>39400</v>
          </cell>
          <cell r="O264">
            <v>237177</v>
          </cell>
          <cell r="P264">
            <v>686793.3</v>
          </cell>
        </row>
        <row r="265">
          <cell r="D265" t="str">
            <v>.</v>
          </cell>
          <cell r="N265">
            <v>39399</v>
          </cell>
          <cell r="O265">
            <v>67751</v>
          </cell>
          <cell r="P265">
            <v>196334.6</v>
          </cell>
        </row>
        <row r="266">
          <cell r="D266" t="str">
            <v>.</v>
          </cell>
          <cell r="N266">
            <v>39398</v>
          </cell>
          <cell r="O266">
            <v>49559</v>
          </cell>
          <cell r="P266">
            <v>143431.85</v>
          </cell>
        </row>
        <row r="267">
          <cell r="D267" t="str">
            <v>.</v>
          </cell>
          <cell r="N267">
            <v>39395</v>
          </cell>
          <cell r="O267">
            <v>133615</v>
          </cell>
          <cell r="P267">
            <v>387236.76</v>
          </cell>
        </row>
        <row r="268">
          <cell r="D268" t="str">
            <v>.</v>
          </cell>
          <cell r="N268">
            <v>39394</v>
          </cell>
          <cell r="O268">
            <v>1751387</v>
          </cell>
          <cell r="P268">
            <v>5078181.24</v>
          </cell>
        </row>
        <row r="269">
          <cell r="D269" t="str">
            <v>.</v>
          </cell>
          <cell r="N269">
            <v>39393</v>
          </cell>
          <cell r="O269">
            <v>119178</v>
          </cell>
          <cell r="P269">
            <v>347132.54</v>
          </cell>
        </row>
        <row r="270">
          <cell r="D270" t="str">
            <v>.</v>
          </cell>
          <cell r="N270">
            <v>39392</v>
          </cell>
          <cell r="O270">
            <v>195646</v>
          </cell>
          <cell r="P270">
            <v>560685.31999999995</v>
          </cell>
        </row>
        <row r="271">
          <cell r="D271" t="str">
            <v>.</v>
          </cell>
          <cell r="N271">
            <v>39391</v>
          </cell>
          <cell r="O271">
            <v>96543</v>
          </cell>
          <cell r="P271">
            <v>283366.83</v>
          </cell>
        </row>
        <row r="272">
          <cell r="D272" t="str">
            <v>.</v>
          </cell>
          <cell r="N272">
            <v>39388</v>
          </cell>
          <cell r="O272">
            <v>112280</v>
          </cell>
          <cell r="P272">
            <v>332865.06</v>
          </cell>
        </row>
        <row r="273">
          <cell r="D273" t="str">
            <v>.</v>
          </cell>
          <cell r="N273">
            <v>39387</v>
          </cell>
          <cell r="O273">
            <v>279198</v>
          </cell>
          <cell r="P273">
            <v>840367.85</v>
          </cell>
        </row>
        <row r="274">
          <cell r="D274" t="str">
            <v>.</v>
          </cell>
          <cell r="N274">
            <v>39386</v>
          </cell>
          <cell r="O274">
            <v>284866</v>
          </cell>
          <cell r="P274">
            <v>870657.81</v>
          </cell>
        </row>
        <row r="275">
          <cell r="D275" t="str">
            <v>.</v>
          </cell>
          <cell r="N275">
            <v>39385</v>
          </cell>
          <cell r="O275">
            <v>102727</v>
          </cell>
          <cell r="P275">
            <v>315805.17</v>
          </cell>
        </row>
        <row r="276">
          <cell r="D276" t="str">
            <v>.</v>
          </cell>
          <cell r="N276">
            <v>39384</v>
          </cell>
          <cell r="O276">
            <v>278418</v>
          </cell>
          <cell r="P276">
            <v>853973.89</v>
          </cell>
        </row>
        <row r="277">
          <cell r="D277" t="str">
            <v>.</v>
          </cell>
          <cell r="N277">
            <v>39381</v>
          </cell>
          <cell r="O277">
            <v>238486</v>
          </cell>
          <cell r="P277">
            <v>729969.7</v>
          </cell>
        </row>
        <row r="278">
          <cell r="D278" t="str">
            <v>.</v>
          </cell>
          <cell r="N278">
            <v>39380</v>
          </cell>
          <cell r="O278">
            <v>179972</v>
          </cell>
          <cell r="P278">
            <v>552076.94999999995</v>
          </cell>
        </row>
        <row r="279">
          <cell r="D279" t="str">
            <v>.</v>
          </cell>
          <cell r="N279">
            <v>39379</v>
          </cell>
          <cell r="O279">
            <v>627348</v>
          </cell>
          <cell r="P279">
            <v>1922391.02</v>
          </cell>
        </row>
        <row r="280">
          <cell r="D280" t="str">
            <v>.</v>
          </cell>
          <cell r="N280">
            <v>39378</v>
          </cell>
          <cell r="O280">
            <v>108443</v>
          </cell>
          <cell r="P280">
            <v>335192.12</v>
          </cell>
        </row>
        <row r="281">
          <cell r="D281" t="str">
            <v>.</v>
          </cell>
          <cell r="N281">
            <v>39377</v>
          </cell>
          <cell r="O281">
            <v>316968</v>
          </cell>
          <cell r="P281">
            <v>998380.55</v>
          </cell>
        </row>
        <row r="282">
          <cell r="D282" t="str">
            <v>.</v>
          </cell>
          <cell r="N282">
            <v>39374</v>
          </cell>
          <cell r="O282">
            <v>316968</v>
          </cell>
          <cell r="P282">
            <v>998380.55</v>
          </cell>
        </row>
        <row r="283">
          <cell r="D283" t="str">
            <v>.</v>
          </cell>
          <cell r="N283">
            <v>39373</v>
          </cell>
          <cell r="O283">
            <v>554749</v>
          </cell>
          <cell r="P283">
            <v>1747836.22</v>
          </cell>
        </row>
        <row r="284">
          <cell r="N284">
            <v>39372</v>
          </cell>
          <cell r="O284">
            <v>256150</v>
          </cell>
          <cell r="P284">
            <v>806943.08</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y_List"/>
      <sheetName val="Tables"/>
      <sheetName val="Turnover"/>
      <sheetName val="Last_Price"/>
      <sheetName val="High_Low"/>
    </sheetNames>
    <sheetDataSet>
      <sheetData sheetId="0"/>
      <sheetData sheetId="1"/>
      <sheetData sheetId="2"/>
      <sheetData sheetId="3">
        <row r="1">
          <cell r="A1" t="str">
            <v>Code</v>
          </cell>
          <cell r="D1" t="str">
            <v>Last_price</v>
          </cell>
        </row>
        <row r="3">
          <cell r="A3" t="str">
            <v>TimeSeries: (A1:A48)</v>
          </cell>
        </row>
        <row r="4">
          <cell r="A4" t="str">
            <v>ABA</v>
          </cell>
          <cell r="D4">
            <v>4.3499999999999996</v>
          </cell>
        </row>
        <row r="5">
          <cell r="A5" t="str">
            <v>AIA</v>
          </cell>
          <cell r="D5">
            <v>1.81</v>
          </cell>
        </row>
        <row r="6">
          <cell r="A6" t="str">
            <v>AIR</v>
          </cell>
          <cell r="D6">
            <v>0.9</v>
          </cell>
        </row>
        <row r="7">
          <cell r="A7" t="str">
            <v>BGR</v>
          </cell>
          <cell r="D7">
            <v>0.78</v>
          </cell>
        </row>
        <row r="8">
          <cell r="A8" t="str">
            <v>CAV</v>
          </cell>
          <cell r="D8">
            <v>2.6</v>
          </cell>
        </row>
        <row r="9">
          <cell r="A9" t="str">
            <v>CCC</v>
          </cell>
          <cell r="D9">
            <v>3.5</v>
          </cell>
        </row>
        <row r="10">
          <cell r="A10" t="str">
            <v>CEN</v>
          </cell>
          <cell r="D10">
            <v>7.36</v>
          </cell>
        </row>
        <row r="11">
          <cell r="A11" t="str">
            <v>CMO</v>
          </cell>
          <cell r="D11">
            <v>3.18</v>
          </cell>
        </row>
        <row r="12">
          <cell r="A12" t="str">
            <v>DGL</v>
          </cell>
          <cell r="D12">
            <v>2</v>
          </cell>
        </row>
        <row r="13">
          <cell r="A13" t="str">
            <v>EBO</v>
          </cell>
          <cell r="D13">
            <v>4.38</v>
          </cell>
        </row>
        <row r="14">
          <cell r="A14" t="str">
            <v>FBU</v>
          </cell>
          <cell r="D14">
            <v>6.38</v>
          </cell>
        </row>
        <row r="15">
          <cell r="A15" t="str">
            <v>FPA</v>
          </cell>
          <cell r="D15">
            <v>1.5</v>
          </cell>
        </row>
        <row r="16">
          <cell r="A16" t="str">
            <v>FPH</v>
          </cell>
          <cell r="D16">
            <v>2.95</v>
          </cell>
        </row>
        <row r="17">
          <cell r="A17" t="str">
            <v>FRE</v>
          </cell>
          <cell r="D17">
            <v>3.21</v>
          </cell>
        </row>
        <row r="18">
          <cell r="A18" t="str">
            <v>GPG</v>
          </cell>
          <cell r="D18">
            <v>1.07</v>
          </cell>
        </row>
        <row r="19">
          <cell r="A19" t="str">
            <v>HBY</v>
          </cell>
          <cell r="D19">
            <v>1.83</v>
          </cell>
        </row>
        <row r="20">
          <cell r="A20" t="str">
            <v>HLG</v>
          </cell>
          <cell r="D20">
            <v>2.6</v>
          </cell>
        </row>
        <row r="21">
          <cell r="A21" t="str">
            <v>IFT</v>
          </cell>
          <cell r="D21">
            <v>2.0299999999999998</v>
          </cell>
        </row>
        <row r="22">
          <cell r="A22" t="str">
            <v>MFT</v>
          </cell>
          <cell r="D22">
            <v>5.35</v>
          </cell>
        </row>
        <row r="23">
          <cell r="A23" t="str">
            <v>MHI</v>
          </cell>
          <cell r="D23">
            <v>0.75</v>
          </cell>
        </row>
        <row r="24">
          <cell r="A24" t="str">
            <v>MVN</v>
          </cell>
          <cell r="D24">
            <v>1.3</v>
          </cell>
        </row>
        <row r="25">
          <cell r="A25" t="str">
            <v>NPX</v>
          </cell>
          <cell r="D25">
            <v>5.63</v>
          </cell>
        </row>
        <row r="26">
          <cell r="A26" t="str">
            <v>NZO</v>
          </cell>
          <cell r="D26">
            <v>1.22</v>
          </cell>
        </row>
        <row r="27">
          <cell r="A27" t="str">
            <v>NZX</v>
          </cell>
          <cell r="D27">
            <v>6.08</v>
          </cell>
        </row>
        <row r="28">
          <cell r="A28" t="str">
            <v>OIC</v>
          </cell>
          <cell r="D28">
            <v>1.48</v>
          </cell>
        </row>
        <row r="29">
          <cell r="A29" t="str">
            <v>PGC</v>
          </cell>
          <cell r="D29">
            <v>3.36</v>
          </cell>
        </row>
        <row r="30">
          <cell r="A30" t="str">
            <v>PGW</v>
          </cell>
          <cell r="D30">
            <v>1.75</v>
          </cell>
        </row>
        <row r="31">
          <cell r="A31" t="str">
            <v>PPL</v>
          </cell>
          <cell r="D31">
            <v>1.1299999999999999</v>
          </cell>
        </row>
        <row r="32">
          <cell r="A32" t="str">
            <v>PRC</v>
          </cell>
          <cell r="D32">
            <v>1.53</v>
          </cell>
        </row>
        <row r="33">
          <cell r="A33" t="str">
            <v>RAK</v>
          </cell>
          <cell r="D33">
            <v>2.2599999999999998</v>
          </cell>
        </row>
        <row r="34">
          <cell r="A34" t="str">
            <v>RBC</v>
          </cell>
          <cell r="D34">
            <v>0.84</v>
          </cell>
        </row>
        <row r="35">
          <cell r="A35" t="str">
            <v>RBD</v>
          </cell>
          <cell r="D35">
            <v>0.63</v>
          </cell>
        </row>
        <row r="36">
          <cell r="A36" t="str">
            <v>RYM</v>
          </cell>
          <cell r="D36">
            <v>1.63</v>
          </cell>
        </row>
        <row r="37">
          <cell r="A37" t="str">
            <v>SAN</v>
          </cell>
          <cell r="D37">
            <v>5.35</v>
          </cell>
        </row>
        <row r="38">
          <cell r="A38" t="str">
            <v>SKC</v>
          </cell>
          <cell r="D38">
            <v>3.1</v>
          </cell>
        </row>
        <row r="39">
          <cell r="A39" t="str">
            <v>SKL</v>
          </cell>
          <cell r="D39">
            <v>0.82</v>
          </cell>
        </row>
        <row r="40">
          <cell r="A40" t="str">
            <v>SKT</v>
          </cell>
          <cell r="D40">
            <v>4.07</v>
          </cell>
        </row>
        <row r="41">
          <cell r="A41" t="str">
            <v>STU</v>
          </cell>
          <cell r="D41">
            <v>3.7</v>
          </cell>
        </row>
        <row r="42">
          <cell r="A42" t="str">
            <v>TEL</v>
          </cell>
          <cell r="D42">
            <v>2.4500000000000002</v>
          </cell>
        </row>
        <row r="43">
          <cell r="A43" t="str">
            <v>TEN</v>
          </cell>
          <cell r="D43">
            <v>0.63</v>
          </cell>
        </row>
        <row r="44">
          <cell r="A44" t="str">
            <v>THL</v>
          </cell>
          <cell r="D44">
            <v>1.0900000000000001</v>
          </cell>
        </row>
        <row r="45">
          <cell r="A45" t="str">
            <v>TPW</v>
          </cell>
          <cell r="D45">
            <v>7.25</v>
          </cell>
        </row>
        <row r="46">
          <cell r="A46" t="str">
            <v>TTK</v>
          </cell>
          <cell r="D46">
            <v>2.0299999999999998</v>
          </cell>
        </row>
        <row r="47">
          <cell r="A47" t="str">
            <v>TUR</v>
          </cell>
          <cell r="D47">
            <v>1.8</v>
          </cell>
        </row>
        <row r="48">
          <cell r="A48" t="str">
            <v>TWR</v>
          </cell>
          <cell r="D48">
            <v>1.48</v>
          </cell>
        </row>
        <row r="49">
          <cell r="A49" t="str">
            <v>VCT</v>
          </cell>
          <cell r="D49">
            <v>2.08</v>
          </cell>
        </row>
        <row r="50">
          <cell r="A50" t="str">
            <v>WHS</v>
          </cell>
          <cell r="D50">
            <v>3.56</v>
          </cell>
        </row>
        <row r="51">
          <cell r="D51">
            <v>0</v>
          </cell>
        </row>
        <row r="52">
          <cell r="D52">
            <v>0</v>
          </cell>
        </row>
        <row r="53">
          <cell r="D53">
            <v>0</v>
          </cell>
        </row>
        <row r="54">
          <cell r="D54">
            <v>0</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7:S59"/>
  <sheetViews>
    <sheetView workbookViewId="0">
      <selection activeCell="G18" sqref="G18"/>
    </sheetView>
  </sheetViews>
  <sheetFormatPr baseColWidth="10" defaultColWidth="8.83203125" defaultRowHeight="12" x14ac:dyDescent="0"/>
  <sheetData>
    <row r="27" spans="1:19" ht="16">
      <c r="A27" s="1"/>
      <c r="B27" s="229" t="s">
        <v>60</v>
      </c>
      <c r="C27" s="229"/>
      <c r="D27" s="229"/>
      <c r="E27" s="229"/>
      <c r="F27" s="229"/>
      <c r="G27" s="229"/>
      <c r="H27" s="229"/>
      <c r="I27" s="229"/>
      <c r="J27" s="229"/>
      <c r="K27" s="229"/>
      <c r="L27" s="229"/>
      <c r="M27" s="229"/>
      <c r="N27" s="229"/>
      <c r="O27" s="229"/>
      <c r="P27" s="229"/>
      <c r="Q27" s="229"/>
      <c r="R27" s="229"/>
      <c r="S27" s="1"/>
    </row>
    <row r="28" spans="1:19" ht="15" customHeight="1">
      <c r="B28" s="227" t="s">
        <v>71</v>
      </c>
      <c r="C28" s="228"/>
      <c r="D28" s="228"/>
      <c r="E28" s="228"/>
      <c r="F28" s="228"/>
      <c r="G28" s="228"/>
      <c r="H28" s="228"/>
      <c r="I28" s="228"/>
      <c r="J28" s="228"/>
      <c r="K28" s="228"/>
      <c r="L28" s="228"/>
      <c r="M28" s="228"/>
      <c r="N28" s="228"/>
      <c r="O28" s="228"/>
      <c r="P28" s="228"/>
      <c r="Q28" s="228"/>
      <c r="R28" s="228"/>
      <c r="S28" s="25"/>
    </row>
    <row r="29" spans="1:19">
      <c r="B29" s="104"/>
      <c r="C29" s="105"/>
      <c r="D29" s="105"/>
      <c r="E29" s="105"/>
      <c r="F29" s="105"/>
      <c r="G29" s="105"/>
      <c r="S29" s="25"/>
    </row>
    <row r="30" spans="1:19">
      <c r="B30" s="25"/>
      <c r="C30" s="1"/>
      <c r="D30" s="36"/>
      <c r="E30" s="36"/>
      <c r="F30" s="36"/>
      <c r="G30" s="1"/>
      <c r="S30" s="25"/>
    </row>
    <row r="31" spans="1:19">
      <c r="B31" s="25"/>
      <c r="C31" s="1"/>
      <c r="D31" s="36"/>
      <c r="E31" s="36"/>
      <c r="F31" s="36"/>
      <c r="G31" s="1"/>
      <c r="S31" s="25"/>
    </row>
    <row r="32" spans="1:19">
      <c r="B32" s="25"/>
      <c r="C32" s="1"/>
      <c r="D32" s="36"/>
      <c r="E32" s="36"/>
      <c r="F32" s="36"/>
      <c r="G32" s="1"/>
      <c r="S32" s="25"/>
    </row>
    <row r="33" spans="2:19">
      <c r="B33" s="25"/>
      <c r="C33" s="1"/>
      <c r="D33" s="36"/>
      <c r="E33" s="36"/>
      <c r="F33" s="36"/>
      <c r="G33" s="1"/>
      <c r="S33" s="25"/>
    </row>
    <row r="34" spans="2:19">
      <c r="B34" s="25"/>
      <c r="C34" s="1"/>
      <c r="D34" s="36"/>
      <c r="E34" s="36"/>
      <c r="F34" s="36"/>
      <c r="G34" s="1"/>
      <c r="S34" s="25"/>
    </row>
    <row r="35" spans="2:19">
      <c r="B35" s="25"/>
      <c r="C35" s="1"/>
      <c r="D35" s="36"/>
      <c r="E35" s="36"/>
      <c r="F35" s="36"/>
      <c r="G35" s="1"/>
      <c r="S35" s="25"/>
    </row>
    <row r="36" spans="2:19">
      <c r="B36" s="25"/>
      <c r="C36" s="1"/>
      <c r="D36" s="36"/>
      <c r="E36" s="36"/>
      <c r="F36" s="36"/>
      <c r="G36" s="1"/>
      <c r="S36" s="25"/>
    </row>
    <row r="37" spans="2:19">
      <c r="B37" s="25"/>
      <c r="C37" s="1"/>
      <c r="D37" s="36"/>
      <c r="E37" s="36"/>
      <c r="F37" s="36"/>
      <c r="G37" s="1"/>
      <c r="S37" s="25"/>
    </row>
    <row r="38" spans="2:19">
      <c r="B38" s="25"/>
      <c r="C38" s="1"/>
      <c r="D38" s="36"/>
      <c r="E38" s="36"/>
      <c r="F38" s="36"/>
      <c r="G38" s="1"/>
      <c r="S38" s="25"/>
    </row>
    <row r="39" spans="2:19">
      <c r="B39" s="25"/>
      <c r="C39" s="1"/>
      <c r="D39" s="36"/>
      <c r="E39" s="36"/>
      <c r="F39" s="36"/>
      <c r="G39" s="1"/>
      <c r="S39" s="25"/>
    </row>
    <row r="40" spans="2:19">
      <c r="B40" s="25"/>
      <c r="C40" s="1"/>
      <c r="D40" s="36"/>
      <c r="E40" s="36"/>
      <c r="F40" s="36"/>
      <c r="G40" s="1"/>
      <c r="S40" s="25"/>
    </row>
    <row r="41" spans="2:19">
      <c r="B41" s="25"/>
      <c r="C41" s="1"/>
      <c r="D41" s="36"/>
      <c r="E41" s="36"/>
      <c r="F41" s="36"/>
      <c r="G41" s="1"/>
      <c r="S41" s="25"/>
    </row>
    <row r="42" spans="2:19">
      <c r="B42" s="25"/>
      <c r="C42" s="1"/>
      <c r="D42" s="36"/>
      <c r="E42" s="36"/>
      <c r="F42" s="36"/>
      <c r="G42" s="1"/>
      <c r="S42" s="25"/>
    </row>
    <row r="43" spans="2:19">
      <c r="B43" s="25"/>
      <c r="C43" s="1"/>
      <c r="D43" s="36"/>
      <c r="E43" s="36"/>
      <c r="F43" s="36"/>
      <c r="G43" s="1"/>
      <c r="S43" s="25"/>
    </row>
    <row r="44" spans="2:19">
      <c r="B44" s="25"/>
      <c r="C44" s="1"/>
      <c r="D44" s="36"/>
      <c r="E44" s="36"/>
      <c r="F44" s="36"/>
      <c r="G44" s="1"/>
      <c r="S44" s="25"/>
    </row>
    <row r="45" spans="2:19">
      <c r="B45" s="25"/>
      <c r="C45" s="1"/>
      <c r="D45" s="36"/>
      <c r="E45" s="36"/>
      <c r="F45" s="36"/>
      <c r="G45" s="1"/>
      <c r="S45" s="25"/>
    </row>
    <row r="46" spans="2:19">
      <c r="B46" s="25"/>
      <c r="C46" s="1"/>
      <c r="D46" s="36"/>
      <c r="E46" s="36"/>
      <c r="F46" s="36"/>
      <c r="G46" s="1"/>
      <c r="S46" s="25"/>
    </row>
    <row r="47" spans="2:19">
      <c r="B47" s="25"/>
      <c r="C47" s="1"/>
      <c r="D47" s="36"/>
      <c r="E47" s="36"/>
      <c r="F47" s="36"/>
      <c r="G47" s="1"/>
      <c r="S47" s="25"/>
    </row>
    <row r="48" spans="2:19">
      <c r="B48" s="25"/>
      <c r="C48" s="1"/>
      <c r="D48" s="36"/>
      <c r="E48" s="36"/>
      <c r="F48" s="36"/>
      <c r="G48" s="1"/>
      <c r="S48" s="25"/>
    </row>
    <row r="49" spans="2:19">
      <c r="B49" s="25"/>
      <c r="C49" s="1"/>
      <c r="D49" s="36"/>
      <c r="E49" s="36"/>
      <c r="F49" s="36"/>
      <c r="G49" s="1"/>
      <c r="S49" s="25"/>
    </row>
    <row r="50" spans="2:19">
      <c r="B50" s="25"/>
      <c r="C50" s="1"/>
      <c r="D50" s="36"/>
      <c r="E50" s="36"/>
      <c r="F50" s="36"/>
      <c r="G50" s="1"/>
      <c r="S50" s="25"/>
    </row>
    <row r="51" spans="2:19">
      <c r="B51" s="25"/>
      <c r="C51" s="1"/>
      <c r="D51" s="36"/>
      <c r="E51" s="36"/>
      <c r="F51" s="36"/>
      <c r="G51" s="1"/>
      <c r="S51" s="25"/>
    </row>
    <row r="52" spans="2:19">
      <c r="B52" s="25"/>
      <c r="C52" s="1"/>
      <c r="D52" s="36"/>
      <c r="E52" s="36"/>
      <c r="F52" s="36"/>
      <c r="G52" s="1"/>
      <c r="S52" s="25"/>
    </row>
    <row r="53" spans="2:19">
      <c r="B53" s="25"/>
      <c r="C53" s="1"/>
      <c r="D53" s="36"/>
      <c r="E53" s="36"/>
      <c r="F53" s="36"/>
      <c r="G53" s="1"/>
      <c r="S53" s="25"/>
    </row>
    <row r="54" spans="2:19">
      <c r="B54" s="25"/>
      <c r="C54" s="1"/>
      <c r="D54" s="36"/>
      <c r="E54" s="36"/>
      <c r="F54" s="36"/>
      <c r="G54" s="1"/>
      <c r="S54" s="25"/>
    </row>
    <row r="55" spans="2:19">
      <c r="B55" s="25"/>
      <c r="C55" s="1"/>
      <c r="D55" s="36"/>
      <c r="E55" s="36"/>
      <c r="F55" s="36"/>
      <c r="G55" s="1"/>
      <c r="S55" s="25"/>
    </row>
    <row r="56" spans="2:19">
      <c r="B56" s="25"/>
      <c r="C56" s="1"/>
      <c r="D56" s="36"/>
      <c r="E56" s="36"/>
      <c r="F56" s="36"/>
      <c r="G56" s="1"/>
      <c r="S56" s="25"/>
    </row>
    <row r="57" spans="2:19">
      <c r="B57" s="25"/>
      <c r="C57" s="1"/>
      <c r="D57" s="36"/>
      <c r="E57" s="36"/>
      <c r="F57" s="36"/>
      <c r="G57" s="1"/>
      <c r="S57" s="25"/>
    </row>
    <row r="58" spans="2:19">
      <c r="B58" s="25"/>
      <c r="C58" s="1"/>
      <c r="D58" s="36"/>
      <c r="E58" s="36"/>
      <c r="F58" s="36"/>
      <c r="G58" s="1"/>
      <c r="S58" s="25"/>
    </row>
    <row r="59" spans="2:19">
      <c r="B59" s="25"/>
      <c r="C59" s="1"/>
      <c r="D59" s="36"/>
      <c r="E59" s="36"/>
      <c r="F59" s="36"/>
      <c r="G59" s="1"/>
      <c r="S59" s="25"/>
    </row>
  </sheetData>
  <mergeCells count="2">
    <mergeCell ref="B28:R28"/>
    <mergeCell ref="B27:R2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8" tint="0.59999389629810485"/>
  </sheetPr>
  <dimension ref="A1:AF118"/>
  <sheetViews>
    <sheetView topLeftCell="B100" zoomScale="125" zoomScaleNormal="125" zoomScaleSheetLayoutView="100" zoomScalePageLayoutView="125" workbookViewId="0">
      <selection activeCell="C165" sqref="C165"/>
    </sheetView>
  </sheetViews>
  <sheetFormatPr baseColWidth="10" defaultColWidth="8.83203125" defaultRowHeight="12" x14ac:dyDescent="0"/>
  <cols>
    <col min="1" max="1" width="8.5" hidden="1" customWidth="1"/>
    <col min="2" max="2" width="4.1640625" style="12" customWidth="1"/>
    <col min="3" max="3" width="74" customWidth="1"/>
    <col min="4" max="4" width="12.6640625" customWidth="1"/>
    <col min="5" max="7" width="12.6640625" style="6" customWidth="1"/>
    <col min="9" max="9" width="13" style="1" customWidth="1"/>
    <col min="10" max="10" width="13.33203125" customWidth="1"/>
    <col min="11" max="11" width="12.83203125" customWidth="1"/>
    <col min="12" max="12" width="12.6640625" customWidth="1"/>
    <col min="13" max="13" width="12.5" customWidth="1"/>
    <col min="14" max="14" width="11.6640625" customWidth="1"/>
  </cols>
  <sheetData>
    <row r="1" spans="2:14" s="12" customFormat="1" ht="16">
      <c r="E1" s="35"/>
      <c r="F1" s="35"/>
      <c r="G1" s="35"/>
      <c r="I1" s="230" t="s">
        <v>59</v>
      </c>
      <c r="J1" s="231"/>
      <c r="K1" s="231"/>
      <c r="L1" s="231"/>
      <c r="M1" s="231"/>
      <c r="N1" s="231"/>
    </row>
    <row r="2" spans="2:14" ht="20" customHeight="1">
      <c r="C2" s="234" t="s">
        <v>134</v>
      </c>
      <c r="D2" s="235"/>
      <c r="E2" s="235"/>
      <c r="F2" s="235"/>
      <c r="G2" s="235"/>
      <c r="H2" s="12"/>
      <c r="I2" s="232" t="s">
        <v>68</v>
      </c>
      <c r="J2" s="228"/>
      <c r="K2" s="228"/>
      <c r="L2" s="228"/>
      <c r="M2" s="228"/>
      <c r="N2" s="228"/>
    </row>
    <row r="3" spans="2:14" ht="20" customHeight="1">
      <c r="C3" s="236" t="s">
        <v>82</v>
      </c>
      <c r="D3" s="231"/>
      <c r="E3" s="231"/>
      <c r="F3" s="231"/>
      <c r="G3" s="231"/>
      <c r="H3" s="12"/>
      <c r="I3" s="227"/>
      <c r="J3" s="228"/>
      <c r="K3" s="228"/>
      <c r="L3" s="228"/>
      <c r="M3" s="228"/>
      <c r="N3" s="228"/>
    </row>
    <row r="4" spans="2:14" ht="18" customHeight="1" thickBot="1">
      <c r="C4" s="237" t="s">
        <v>135</v>
      </c>
      <c r="D4" s="238"/>
      <c r="E4" s="238"/>
      <c r="F4" s="238"/>
      <c r="G4" s="238"/>
      <c r="H4" s="12"/>
      <c r="I4" s="227"/>
      <c r="J4" s="228"/>
      <c r="K4" s="228"/>
      <c r="L4" s="228"/>
      <c r="M4" s="228"/>
      <c r="N4" s="228"/>
    </row>
    <row r="5" spans="2:14" ht="13">
      <c r="C5" s="10"/>
      <c r="D5" s="13">
        <v>2019</v>
      </c>
      <c r="E5" s="13">
        <v>2018</v>
      </c>
      <c r="F5" s="13">
        <v>2017</v>
      </c>
      <c r="G5" s="13">
        <v>2016</v>
      </c>
      <c r="H5" s="12"/>
      <c r="I5" s="227"/>
      <c r="J5" s="228"/>
      <c r="K5" s="228"/>
      <c r="L5" s="228"/>
      <c r="M5" s="228"/>
      <c r="N5" s="228"/>
    </row>
    <row r="6" spans="2:14" ht="13" thickBot="1">
      <c r="C6" s="10"/>
      <c r="D6" s="14" t="str">
        <f>+$G$6</f>
        <v>US$'000</v>
      </c>
      <c r="E6" s="14" t="str">
        <f>+$G$6</f>
        <v>US$'000</v>
      </c>
      <c r="F6" s="14" t="str">
        <f>+$G$6</f>
        <v>US$'000</v>
      </c>
      <c r="G6" s="88" t="s">
        <v>137</v>
      </c>
      <c r="H6" s="12"/>
      <c r="I6" s="227"/>
      <c r="J6" s="228"/>
      <c r="K6" s="228"/>
      <c r="L6" s="228"/>
      <c r="M6" s="228"/>
      <c r="N6" s="228"/>
    </row>
    <row r="7" spans="2:14">
      <c r="C7" s="10"/>
      <c r="D7" s="24"/>
      <c r="E7" s="24"/>
      <c r="F7" s="24"/>
      <c r="G7" s="24"/>
      <c r="H7" s="12"/>
      <c r="I7" s="227"/>
      <c r="J7" s="228"/>
      <c r="K7" s="228"/>
      <c r="L7" s="228"/>
      <c r="M7" s="228"/>
      <c r="N7" s="228"/>
    </row>
    <row r="8" spans="2:14" s="1" customFormat="1">
      <c r="B8" s="10"/>
      <c r="C8" s="146" t="s">
        <v>138</v>
      </c>
      <c r="D8" s="167"/>
      <c r="E8" s="168"/>
      <c r="F8" s="168"/>
      <c r="G8" s="168"/>
      <c r="H8" s="10"/>
      <c r="I8" s="227"/>
      <c r="J8" s="228"/>
      <c r="K8" s="228"/>
      <c r="L8" s="228"/>
      <c r="M8" s="228"/>
      <c r="N8" s="228"/>
    </row>
    <row r="9" spans="2:14" s="1" customFormat="1">
      <c r="B9" s="209" t="s">
        <v>205</v>
      </c>
      <c r="C9" s="151" t="s">
        <v>203</v>
      </c>
      <c r="D9" s="169">
        <v>171819</v>
      </c>
      <c r="E9" s="170">
        <v>140176</v>
      </c>
      <c r="F9" s="170">
        <f>110811+54</f>
        <v>110865</v>
      </c>
      <c r="G9" s="170">
        <f>93471+126</f>
        <v>93597</v>
      </c>
      <c r="H9" s="10"/>
      <c r="I9" s="227"/>
      <c r="J9" s="228"/>
      <c r="K9" s="228"/>
      <c r="L9" s="228"/>
      <c r="M9" s="228"/>
      <c r="N9" s="228"/>
    </row>
    <row r="10" spans="2:14" s="1" customFormat="1">
      <c r="B10" s="209" t="s">
        <v>206</v>
      </c>
      <c r="C10" s="158" t="s">
        <v>204</v>
      </c>
      <c r="D10" s="172">
        <v>933</v>
      </c>
      <c r="E10" s="173">
        <v>192</v>
      </c>
      <c r="F10" s="173">
        <v>92</v>
      </c>
      <c r="G10" s="173">
        <v>102</v>
      </c>
      <c r="H10" s="10"/>
      <c r="I10" s="227"/>
      <c r="J10" s="228"/>
      <c r="K10" s="228"/>
      <c r="L10" s="228"/>
      <c r="M10" s="228"/>
      <c r="N10" s="228"/>
    </row>
    <row r="11" spans="2:14" s="1" customFormat="1">
      <c r="B11" s="10"/>
      <c r="C11" s="149" t="s">
        <v>195</v>
      </c>
      <c r="D11" s="164">
        <f>SUM(D9:D10)</f>
        <v>172752</v>
      </c>
      <c r="E11" s="164">
        <f t="shared" ref="E11:G11" si="0">SUM(E9:E10)</f>
        <v>140368</v>
      </c>
      <c r="F11" s="164">
        <f t="shared" si="0"/>
        <v>110957</v>
      </c>
      <c r="G11" s="164">
        <f t="shared" si="0"/>
        <v>93699</v>
      </c>
      <c r="H11" s="10"/>
      <c r="I11" s="227"/>
      <c r="J11" s="228"/>
      <c r="K11" s="228"/>
      <c r="L11" s="228"/>
      <c r="M11" s="228"/>
      <c r="N11" s="228"/>
    </row>
    <row r="12" spans="2:14">
      <c r="C12" s="157"/>
      <c r="D12" s="160"/>
      <c r="E12" s="160" t="s">
        <v>16</v>
      </c>
      <c r="F12" s="160" t="s">
        <v>16</v>
      </c>
      <c r="G12" s="157"/>
      <c r="H12" s="12"/>
      <c r="I12" s="227"/>
      <c r="J12" s="228"/>
      <c r="K12" s="228"/>
      <c r="L12" s="228"/>
      <c r="M12" s="228"/>
      <c r="N12" s="228"/>
    </row>
    <row r="13" spans="2:14">
      <c r="C13" s="149" t="s">
        <v>139</v>
      </c>
      <c r="D13" s="109"/>
      <c r="E13" s="148" t="s">
        <v>16</v>
      </c>
      <c r="F13" s="148" t="s">
        <v>16</v>
      </c>
      <c r="G13" s="148"/>
      <c r="H13" s="12"/>
      <c r="I13" s="227"/>
      <c r="J13" s="228"/>
      <c r="K13" s="228"/>
      <c r="L13" s="228"/>
      <c r="M13" s="228"/>
      <c r="N13" s="228"/>
    </row>
    <row r="14" spans="2:14">
      <c r="B14" s="209" t="s">
        <v>205</v>
      </c>
      <c r="C14" s="167" t="s">
        <v>140</v>
      </c>
      <c r="D14" s="168">
        <v>-70581</v>
      </c>
      <c r="E14" s="168">
        <v>-63437</v>
      </c>
      <c r="F14" s="168">
        <v>-52343</v>
      </c>
      <c r="G14" s="167">
        <v>-45244</v>
      </c>
      <c r="H14" s="12"/>
      <c r="I14" s="227"/>
      <c r="J14" s="228"/>
      <c r="K14" s="228"/>
      <c r="L14" s="228"/>
      <c r="M14" s="228"/>
      <c r="N14" s="228"/>
    </row>
    <row r="15" spans="2:14">
      <c r="B15" s="209" t="s">
        <v>205</v>
      </c>
      <c r="C15" s="151" t="s">
        <v>141</v>
      </c>
      <c r="D15" s="169">
        <v>-6943</v>
      </c>
      <c r="E15" s="170">
        <v>-2371</v>
      </c>
      <c r="F15" s="170">
        <v>-2132</v>
      </c>
      <c r="G15" s="170">
        <v>-1365</v>
      </c>
      <c r="H15" s="12"/>
      <c r="I15" s="227"/>
      <c r="J15" s="228"/>
      <c r="K15" s="228"/>
      <c r="L15" s="228"/>
      <c r="M15" s="228"/>
      <c r="N15" s="228"/>
    </row>
    <row r="16" spans="2:14">
      <c r="B16" s="209" t="s">
        <v>205</v>
      </c>
      <c r="C16" s="167" t="s">
        <v>143</v>
      </c>
      <c r="D16" s="168">
        <v>-5842</v>
      </c>
      <c r="E16" s="168">
        <v>-5296</v>
      </c>
      <c r="F16" s="168">
        <v>-3785</v>
      </c>
      <c r="G16" s="167">
        <v>-2741</v>
      </c>
      <c r="H16" s="12"/>
      <c r="I16" s="227"/>
      <c r="J16" s="228"/>
      <c r="K16" s="228"/>
      <c r="L16" s="228"/>
      <c r="M16" s="228"/>
      <c r="N16" s="228"/>
    </row>
    <row r="17" spans="2:32">
      <c r="B17" s="209" t="s">
        <v>205</v>
      </c>
      <c r="C17" s="151" t="s">
        <v>142</v>
      </c>
      <c r="D17" s="169">
        <v>-5095</v>
      </c>
      <c r="E17" s="170">
        <v>-4254</v>
      </c>
      <c r="F17" s="170">
        <v>-3822</v>
      </c>
      <c r="G17" s="170">
        <v>-3773</v>
      </c>
      <c r="H17" s="12"/>
      <c r="I17" s="227"/>
      <c r="J17" s="228"/>
      <c r="K17" s="228"/>
      <c r="L17" s="228"/>
      <c r="M17" s="228"/>
      <c r="N17" s="228"/>
    </row>
    <row r="18" spans="2:32">
      <c r="B18" s="209" t="s">
        <v>205</v>
      </c>
      <c r="C18" s="167" t="s">
        <v>144</v>
      </c>
      <c r="D18" s="168">
        <v>-5038</v>
      </c>
      <c r="E18" s="168">
        <v>-3516</v>
      </c>
      <c r="F18" s="168">
        <v>-3096</v>
      </c>
      <c r="G18" s="167">
        <v>-2532</v>
      </c>
      <c r="H18" s="12"/>
      <c r="I18" s="227"/>
      <c r="J18" s="228"/>
      <c r="K18" s="228"/>
      <c r="L18" s="228"/>
      <c r="M18" s="228"/>
      <c r="N18" s="228"/>
    </row>
    <row r="19" spans="2:32">
      <c r="B19" s="209" t="s">
        <v>205</v>
      </c>
      <c r="C19" s="151" t="s">
        <v>145</v>
      </c>
      <c r="D19" s="169">
        <v>-5026</v>
      </c>
      <c r="E19" s="170">
        <v>-4333</v>
      </c>
      <c r="F19" s="170">
        <v>-2565</v>
      </c>
      <c r="G19" s="170">
        <v>-1762</v>
      </c>
      <c r="H19" s="12"/>
      <c r="I19" s="227"/>
      <c r="J19" s="228"/>
      <c r="K19" s="228"/>
      <c r="L19" s="228"/>
      <c r="M19" s="228"/>
      <c r="N19" s="228"/>
    </row>
    <row r="20" spans="2:32">
      <c r="B20" s="209" t="s">
        <v>205</v>
      </c>
      <c r="C20" s="167" t="s">
        <v>146</v>
      </c>
      <c r="D20" s="168">
        <v>-4857</v>
      </c>
      <c r="E20" s="168">
        <v>-4463</v>
      </c>
      <c r="F20" s="168">
        <v>-4153</v>
      </c>
      <c r="G20" s="167">
        <v>-3106</v>
      </c>
      <c r="H20" s="12"/>
      <c r="I20" s="227"/>
      <c r="J20" s="228"/>
      <c r="K20" s="228"/>
      <c r="L20" s="228"/>
      <c r="M20" s="228"/>
      <c r="N20" s="228"/>
    </row>
    <row r="21" spans="2:32">
      <c r="B21" s="209" t="s">
        <v>205</v>
      </c>
      <c r="C21" s="151" t="s">
        <v>147</v>
      </c>
      <c r="D21" s="169">
        <v>-3511</v>
      </c>
      <c r="E21" s="170">
        <v>-2679</v>
      </c>
      <c r="F21" s="170">
        <v>-1892</v>
      </c>
      <c r="G21" s="170">
        <v>-945</v>
      </c>
      <c r="H21" s="12"/>
      <c r="I21" s="227"/>
      <c r="J21" s="228"/>
      <c r="K21" s="228"/>
      <c r="L21" s="228"/>
      <c r="M21" s="228"/>
      <c r="N21" s="228"/>
    </row>
    <row r="22" spans="2:32">
      <c r="B22" s="209" t="s">
        <v>205</v>
      </c>
      <c r="C22" s="167" t="s">
        <v>148</v>
      </c>
      <c r="D22" s="168">
        <v>-3350</v>
      </c>
      <c r="E22" s="168">
        <v>-2770</v>
      </c>
      <c r="F22" s="168">
        <v>-2214</v>
      </c>
      <c r="G22" s="167">
        <v>-3298</v>
      </c>
      <c r="H22" s="12"/>
      <c r="I22" s="227"/>
      <c r="J22" s="228"/>
      <c r="K22" s="228"/>
      <c r="L22" s="228"/>
      <c r="M22" s="228"/>
      <c r="N22" s="228"/>
    </row>
    <row r="23" spans="2:32">
      <c r="B23" s="209" t="s">
        <v>205</v>
      </c>
      <c r="C23" s="151" t="s">
        <v>149</v>
      </c>
      <c r="D23" s="169">
        <v>55</v>
      </c>
      <c r="E23" s="170">
        <v>-4387</v>
      </c>
      <c r="F23" s="170">
        <v>-433</v>
      </c>
      <c r="G23" s="170">
        <v>0</v>
      </c>
      <c r="H23" s="12"/>
      <c r="I23" s="227"/>
      <c r="J23" s="233"/>
      <c r="K23" s="233"/>
      <c r="L23" s="233"/>
      <c r="M23" s="233"/>
      <c r="N23" s="233"/>
    </row>
    <row r="24" spans="2:32">
      <c r="B24" s="209" t="s">
        <v>206</v>
      </c>
      <c r="C24" s="167" t="s">
        <v>209</v>
      </c>
      <c r="D24" s="168">
        <v>-1</v>
      </c>
      <c r="E24" s="168">
        <v>-2</v>
      </c>
      <c r="F24" s="168">
        <v>-4</v>
      </c>
      <c r="G24" s="167">
        <v>-35</v>
      </c>
      <c r="H24" s="12"/>
      <c r="I24" s="227"/>
      <c r="J24" s="233"/>
      <c r="K24" s="233"/>
      <c r="L24" s="233"/>
      <c r="M24" s="233"/>
      <c r="N24" s="233"/>
    </row>
    <row r="25" spans="2:32">
      <c r="B25" s="209" t="s">
        <v>206</v>
      </c>
      <c r="C25" s="169" t="s">
        <v>210</v>
      </c>
      <c r="D25" s="170">
        <v>-199</v>
      </c>
      <c r="E25" s="170">
        <v>-60</v>
      </c>
      <c r="F25" s="170">
        <v>-85</v>
      </c>
      <c r="G25" s="169">
        <v>-145</v>
      </c>
      <c r="H25" s="12"/>
      <c r="I25" s="227"/>
      <c r="J25" s="233"/>
      <c r="K25" s="233"/>
      <c r="L25" s="233"/>
      <c r="M25" s="233"/>
      <c r="N25" s="233"/>
    </row>
    <row r="26" spans="2:32">
      <c r="B26" s="209" t="s">
        <v>205</v>
      </c>
      <c r="C26" s="167" t="s">
        <v>160</v>
      </c>
      <c r="D26" s="168">
        <v>0</v>
      </c>
      <c r="E26" s="168">
        <v>0</v>
      </c>
      <c r="F26" s="168">
        <v>-1952</v>
      </c>
      <c r="G26" s="167">
        <v>0</v>
      </c>
      <c r="H26" s="12"/>
      <c r="I26" s="227"/>
      <c r="J26" s="233"/>
      <c r="K26" s="233"/>
      <c r="L26" s="233"/>
      <c r="M26" s="233"/>
      <c r="N26" s="233"/>
    </row>
    <row r="27" spans="2:32">
      <c r="B27" s="209" t="s">
        <v>205</v>
      </c>
      <c r="C27" s="169" t="s">
        <v>161</v>
      </c>
      <c r="D27" s="170">
        <v>119</v>
      </c>
      <c r="E27" s="170">
        <v>335</v>
      </c>
      <c r="F27" s="170">
        <v>-30</v>
      </c>
      <c r="G27" s="169">
        <v>83</v>
      </c>
      <c r="H27" s="12"/>
      <c r="I27" s="227"/>
      <c r="J27" s="233"/>
      <c r="K27" s="233"/>
      <c r="L27" s="233"/>
      <c r="M27" s="233"/>
      <c r="N27" s="233"/>
    </row>
    <row r="28" spans="2:32" s="147" customFormat="1">
      <c r="B28" s="209" t="s">
        <v>205</v>
      </c>
      <c r="C28" s="167" t="s">
        <v>211</v>
      </c>
      <c r="D28" s="168">
        <v>-4871</v>
      </c>
      <c r="E28" s="168">
        <v>-3432</v>
      </c>
      <c r="F28" s="168">
        <v>-2979</v>
      </c>
      <c r="G28" s="167">
        <v>-4226</v>
      </c>
      <c r="I28" s="227"/>
      <c r="J28" s="233"/>
      <c r="K28" s="233"/>
      <c r="L28" s="233"/>
      <c r="M28" s="233"/>
      <c r="N28" s="233"/>
      <c r="O28"/>
      <c r="P28"/>
      <c r="Q28"/>
      <c r="R28"/>
      <c r="S28"/>
      <c r="T28"/>
      <c r="U28"/>
      <c r="V28"/>
      <c r="W28"/>
      <c r="X28"/>
      <c r="Y28"/>
      <c r="Z28"/>
      <c r="AA28"/>
      <c r="AB28"/>
      <c r="AC28"/>
      <c r="AD28"/>
      <c r="AE28"/>
      <c r="AF28"/>
    </row>
    <row r="29" spans="2:32" s="147" customFormat="1">
      <c r="C29" s="164" t="s">
        <v>196</v>
      </c>
      <c r="D29" s="191">
        <f>SUM(D14:D28)</f>
        <v>-115140</v>
      </c>
      <c r="E29" s="191">
        <f t="shared" ref="E29:G29" si="1">SUM(E14:E28)</f>
        <v>-100665</v>
      </c>
      <c r="F29" s="191">
        <f>SUM(F14:F28)</f>
        <v>-81485</v>
      </c>
      <c r="G29" s="152">
        <f t="shared" si="1"/>
        <v>-69089</v>
      </c>
      <c r="I29" s="227"/>
      <c r="J29" s="233"/>
      <c r="K29" s="233"/>
      <c r="L29" s="233"/>
      <c r="M29" s="233"/>
      <c r="N29" s="233"/>
      <c r="O29"/>
      <c r="P29"/>
      <c r="Q29"/>
      <c r="R29"/>
      <c r="S29"/>
      <c r="T29"/>
      <c r="U29"/>
      <c r="V29"/>
      <c r="W29"/>
      <c r="X29"/>
      <c r="Y29"/>
      <c r="Z29"/>
      <c r="AA29"/>
      <c r="AB29"/>
      <c r="AC29"/>
      <c r="AD29"/>
      <c r="AE29"/>
      <c r="AF29"/>
    </row>
    <row r="30" spans="2:32" s="147" customFormat="1">
      <c r="C30" s="167"/>
      <c r="D30" s="168"/>
      <c r="E30" s="168"/>
      <c r="F30" s="168"/>
      <c r="G30" s="167"/>
      <c r="I30" s="227"/>
      <c r="J30" s="233"/>
      <c r="K30" s="233"/>
      <c r="L30" s="233"/>
      <c r="M30" s="233"/>
      <c r="N30" s="233"/>
      <c r="O30"/>
      <c r="P30"/>
      <c r="Q30"/>
      <c r="R30"/>
      <c r="S30"/>
      <c r="T30"/>
      <c r="U30"/>
      <c r="V30"/>
      <c r="W30"/>
      <c r="X30"/>
      <c r="Y30"/>
      <c r="Z30"/>
      <c r="AA30"/>
      <c r="AB30"/>
      <c r="AC30"/>
      <c r="AD30"/>
      <c r="AE30"/>
      <c r="AF30"/>
    </row>
    <row r="31" spans="2:32">
      <c r="C31" s="164" t="s">
        <v>150</v>
      </c>
      <c r="D31" s="200">
        <f>D11+D29</f>
        <v>57612</v>
      </c>
      <c r="E31" s="200">
        <f>E11+E29</f>
        <v>39703</v>
      </c>
      <c r="F31" s="200">
        <f>F11+F29</f>
        <v>29472</v>
      </c>
      <c r="G31" s="164">
        <f t="shared" ref="G31" si="2">G11+G29</f>
        <v>24610</v>
      </c>
      <c r="H31" s="12"/>
      <c r="I31" s="227"/>
      <c r="J31" s="233"/>
      <c r="K31" s="233"/>
      <c r="L31" s="233"/>
      <c r="M31" s="233"/>
      <c r="N31" s="233"/>
    </row>
    <row r="32" spans="2:32" s="147" customFormat="1">
      <c r="B32" s="210" t="s">
        <v>205</v>
      </c>
      <c r="C32" s="167" t="s">
        <v>151</v>
      </c>
      <c r="D32" s="168">
        <v>-4719</v>
      </c>
      <c r="E32" s="168">
        <v>-2214</v>
      </c>
      <c r="F32" s="168">
        <v>-1395</v>
      </c>
      <c r="G32" s="167">
        <v>-1590</v>
      </c>
      <c r="I32" s="227"/>
      <c r="J32" s="233"/>
      <c r="K32" s="233"/>
      <c r="L32" s="233"/>
      <c r="M32" s="233"/>
      <c r="N32" s="233"/>
      <c r="O32"/>
      <c r="P32"/>
      <c r="Q32"/>
      <c r="R32"/>
      <c r="S32"/>
      <c r="T32"/>
      <c r="U32"/>
      <c r="V32"/>
      <c r="W32"/>
      <c r="X32"/>
      <c r="Y32"/>
      <c r="Z32"/>
      <c r="AA32"/>
      <c r="AB32"/>
      <c r="AC32"/>
      <c r="AD32"/>
      <c r="AE32"/>
      <c r="AF32"/>
    </row>
    <row r="33" spans="2:32" s="147" customFormat="1">
      <c r="C33" s="164" t="s">
        <v>152</v>
      </c>
      <c r="D33" s="191">
        <f>D31+D32</f>
        <v>52893</v>
      </c>
      <c r="E33" s="191">
        <f t="shared" ref="E33:G33" si="3">E31+E32</f>
        <v>37489</v>
      </c>
      <c r="F33" s="191">
        <f>F31+F32</f>
        <v>28077</v>
      </c>
      <c r="G33" s="152">
        <f t="shared" si="3"/>
        <v>23020</v>
      </c>
      <c r="I33" s="227"/>
      <c r="J33" s="233"/>
      <c r="K33" s="233"/>
      <c r="L33" s="233"/>
      <c r="M33" s="233"/>
      <c r="N33" s="233"/>
      <c r="O33"/>
      <c r="P33"/>
      <c r="Q33"/>
      <c r="R33"/>
      <c r="S33"/>
      <c r="T33"/>
      <c r="U33"/>
      <c r="V33"/>
      <c r="W33"/>
      <c r="X33"/>
      <c r="Y33"/>
      <c r="Z33"/>
      <c r="AA33"/>
      <c r="AB33"/>
      <c r="AC33"/>
      <c r="AD33"/>
      <c r="AE33"/>
      <c r="AF33"/>
    </row>
    <row r="34" spans="2:32" s="147" customFormat="1">
      <c r="C34" s="167"/>
      <c r="D34" s="168"/>
      <c r="E34" s="168"/>
      <c r="F34" s="168"/>
      <c r="G34" s="167"/>
      <c r="I34" s="227"/>
      <c r="J34" s="233"/>
      <c r="K34" s="233"/>
      <c r="L34" s="233"/>
      <c r="M34" s="233"/>
      <c r="N34" s="233"/>
      <c r="O34"/>
      <c r="P34"/>
      <c r="Q34"/>
      <c r="R34"/>
      <c r="S34"/>
      <c r="T34"/>
      <c r="U34"/>
      <c r="V34"/>
      <c r="W34"/>
      <c r="X34"/>
      <c r="Y34"/>
      <c r="Z34"/>
      <c r="AA34"/>
      <c r="AB34"/>
      <c r="AC34"/>
      <c r="AD34"/>
      <c r="AE34"/>
      <c r="AF34"/>
    </row>
    <row r="35" spans="2:32" s="147" customFormat="1">
      <c r="C35" s="164" t="s">
        <v>153</v>
      </c>
      <c r="D35" s="200"/>
      <c r="E35" s="200"/>
      <c r="F35" s="200"/>
      <c r="G35" s="164"/>
      <c r="I35" s="227"/>
      <c r="J35" s="233"/>
      <c r="K35" s="233"/>
      <c r="L35" s="233"/>
      <c r="M35" s="233"/>
      <c r="N35" s="233"/>
      <c r="O35"/>
      <c r="P35"/>
      <c r="Q35"/>
      <c r="R35"/>
      <c r="S35"/>
      <c r="T35"/>
      <c r="U35"/>
      <c r="V35"/>
      <c r="W35"/>
      <c r="X35"/>
      <c r="Y35"/>
      <c r="Z35"/>
      <c r="AA35"/>
      <c r="AB35"/>
      <c r="AC35"/>
      <c r="AD35"/>
      <c r="AE35"/>
      <c r="AF35"/>
    </row>
    <row r="36" spans="2:32" s="147" customFormat="1">
      <c r="C36" s="211" t="s">
        <v>154</v>
      </c>
      <c r="D36" s="212"/>
      <c r="E36" s="212"/>
      <c r="F36" s="212"/>
      <c r="G36" s="211"/>
      <c r="I36" s="227"/>
      <c r="J36" s="233"/>
      <c r="K36" s="233"/>
      <c r="L36" s="233"/>
      <c r="M36" s="233"/>
      <c r="N36" s="233"/>
      <c r="O36"/>
      <c r="P36"/>
      <c r="Q36"/>
      <c r="R36"/>
      <c r="S36"/>
      <c r="T36"/>
      <c r="U36"/>
      <c r="V36"/>
      <c r="W36"/>
      <c r="X36"/>
      <c r="Y36"/>
      <c r="Z36"/>
      <c r="AA36"/>
      <c r="AB36"/>
      <c r="AC36"/>
      <c r="AD36"/>
      <c r="AE36"/>
      <c r="AF36"/>
    </row>
    <row r="37" spans="2:32" s="147" customFormat="1">
      <c r="B37" s="210" t="s">
        <v>205</v>
      </c>
      <c r="C37" s="169" t="s">
        <v>155</v>
      </c>
      <c r="D37" s="170">
        <v>-349</v>
      </c>
      <c r="E37" s="170">
        <v>-1136</v>
      </c>
      <c r="F37" s="170">
        <v>-251</v>
      </c>
      <c r="G37" s="169">
        <v>-278</v>
      </c>
      <c r="I37" s="227"/>
      <c r="J37" s="233"/>
      <c r="K37" s="233"/>
      <c r="L37" s="233"/>
      <c r="M37" s="233"/>
      <c r="N37" s="233"/>
      <c r="O37"/>
      <c r="P37"/>
      <c r="Q37"/>
      <c r="R37"/>
      <c r="S37"/>
      <c r="T37"/>
      <c r="U37"/>
      <c r="V37"/>
      <c r="W37"/>
      <c r="X37"/>
      <c r="Y37"/>
      <c r="Z37"/>
      <c r="AA37"/>
      <c r="AB37"/>
      <c r="AC37"/>
      <c r="AD37"/>
      <c r="AE37"/>
      <c r="AF37"/>
    </row>
    <row r="38" spans="2:32" s="147" customFormat="1">
      <c r="B38" s="210" t="s">
        <v>208</v>
      </c>
      <c r="C38" s="167" t="s">
        <v>156</v>
      </c>
      <c r="D38" s="168">
        <v>-349</v>
      </c>
      <c r="E38" s="168">
        <v>-1136</v>
      </c>
      <c r="F38" s="168">
        <v>-251</v>
      </c>
      <c r="G38" s="167">
        <v>-278</v>
      </c>
      <c r="I38" s="227"/>
      <c r="J38" s="233"/>
      <c r="K38" s="233"/>
      <c r="L38" s="233"/>
      <c r="M38" s="233"/>
      <c r="N38" s="233"/>
      <c r="O38"/>
      <c r="P38"/>
      <c r="Q38"/>
      <c r="R38"/>
      <c r="S38"/>
      <c r="T38"/>
      <c r="U38"/>
      <c r="V38"/>
      <c r="W38"/>
      <c r="X38"/>
      <c r="Y38"/>
      <c r="Z38"/>
      <c r="AA38"/>
      <c r="AB38"/>
      <c r="AC38"/>
      <c r="AD38"/>
      <c r="AE38"/>
      <c r="AF38"/>
    </row>
    <row r="39" spans="2:32" s="147" customFormat="1">
      <c r="C39" s="164" t="s">
        <v>157</v>
      </c>
      <c r="D39" s="191">
        <v>52544</v>
      </c>
      <c r="E39" s="191">
        <v>36353</v>
      </c>
      <c r="F39" s="191">
        <v>27826</v>
      </c>
      <c r="G39" s="152">
        <v>22742</v>
      </c>
      <c r="I39" s="227"/>
      <c r="J39" s="233"/>
      <c r="K39" s="233"/>
      <c r="L39" s="233"/>
      <c r="M39" s="233"/>
      <c r="N39" s="233"/>
      <c r="O39"/>
      <c r="P39"/>
      <c r="Q39"/>
      <c r="R39"/>
      <c r="S39"/>
      <c r="T39"/>
      <c r="U39"/>
      <c r="V39"/>
      <c r="W39"/>
      <c r="X39"/>
      <c r="Y39"/>
      <c r="Z39"/>
      <c r="AA39"/>
      <c r="AB39"/>
      <c r="AC39"/>
      <c r="AD39"/>
      <c r="AE39"/>
      <c r="AF39"/>
    </row>
    <row r="40" spans="2:32" s="147" customFormat="1">
      <c r="C40" s="167"/>
      <c r="D40" s="168"/>
      <c r="E40" s="168"/>
      <c r="F40" s="168"/>
      <c r="G40" s="167"/>
      <c r="I40" s="227"/>
      <c r="J40" s="233"/>
      <c r="K40" s="233"/>
      <c r="L40" s="233"/>
      <c r="M40" s="233"/>
      <c r="N40" s="233"/>
      <c r="O40"/>
      <c r="P40"/>
      <c r="Q40"/>
      <c r="R40"/>
      <c r="S40"/>
      <c r="T40"/>
      <c r="U40"/>
      <c r="V40"/>
      <c r="W40"/>
      <c r="X40"/>
      <c r="Y40"/>
      <c r="Z40"/>
      <c r="AA40"/>
      <c r="AB40"/>
      <c r="AC40"/>
      <c r="AD40"/>
      <c r="AE40"/>
      <c r="AF40"/>
    </row>
    <row r="41" spans="2:32" s="147" customFormat="1">
      <c r="C41" s="169" t="s">
        <v>158</v>
      </c>
      <c r="D41" s="153">
        <v>40.57</v>
      </c>
      <c r="E41" s="153">
        <v>28.76</v>
      </c>
      <c r="F41" s="153">
        <v>21.7</v>
      </c>
      <c r="G41" s="208">
        <v>17.89</v>
      </c>
      <c r="I41" s="227"/>
      <c r="J41" s="233"/>
      <c r="K41" s="233"/>
      <c r="L41" s="233"/>
      <c r="M41" s="233"/>
      <c r="N41" s="233"/>
      <c r="O41"/>
      <c r="P41"/>
      <c r="Q41"/>
      <c r="R41"/>
      <c r="S41"/>
      <c r="T41"/>
      <c r="U41"/>
      <c r="V41"/>
      <c r="W41"/>
      <c r="X41"/>
      <c r="Y41"/>
      <c r="Z41"/>
      <c r="AA41"/>
      <c r="AB41"/>
      <c r="AC41"/>
      <c r="AD41"/>
      <c r="AE41"/>
      <c r="AF41"/>
    </row>
    <row r="42" spans="2:32" s="147" customFormat="1">
      <c r="C42" s="167" t="s">
        <v>159</v>
      </c>
      <c r="D42" s="154">
        <v>40.39</v>
      </c>
      <c r="E42" s="154">
        <v>28.8</v>
      </c>
      <c r="F42" s="154">
        <v>21.7</v>
      </c>
      <c r="G42" s="174">
        <v>17.89</v>
      </c>
      <c r="I42" s="227"/>
      <c r="J42" s="233"/>
      <c r="K42" s="233"/>
      <c r="L42" s="233"/>
      <c r="M42" s="233"/>
      <c r="N42" s="233"/>
      <c r="O42"/>
      <c r="P42"/>
      <c r="Q42"/>
      <c r="R42"/>
      <c r="S42"/>
      <c r="T42"/>
      <c r="U42"/>
      <c r="V42"/>
      <c r="W42"/>
      <c r="X42"/>
      <c r="Y42"/>
      <c r="Z42"/>
      <c r="AA42"/>
      <c r="AB42"/>
      <c r="AC42"/>
      <c r="AD42"/>
      <c r="AE42"/>
      <c r="AF42"/>
    </row>
    <row r="43" spans="2:32">
      <c r="C43" s="164"/>
      <c r="D43" s="200"/>
      <c r="E43" s="200"/>
      <c r="F43" s="200"/>
      <c r="G43" s="164"/>
      <c r="H43" s="12"/>
      <c r="I43" s="227"/>
      <c r="J43" s="233"/>
      <c r="K43" s="233"/>
      <c r="L43" s="233"/>
      <c r="M43" s="233"/>
      <c r="N43" s="233"/>
    </row>
    <row r="44" spans="2:32" s="12" customFormat="1" ht="16">
      <c r="E44" s="35"/>
      <c r="F44" s="35"/>
      <c r="G44" s="35"/>
      <c r="I44" s="230" t="s">
        <v>65</v>
      </c>
      <c r="J44" s="231"/>
      <c r="K44" s="231"/>
      <c r="L44" s="231"/>
      <c r="M44" s="231"/>
      <c r="N44" s="231"/>
    </row>
    <row r="45" spans="2:32" ht="20" customHeight="1">
      <c r="C45" s="234" t="str">
        <f>C2</f>
        <v>Altium Limited</v>
      </c>
      <c r="D45" s="234"/>
      <c r="E45" s="234"/>
      <c r="F45" s="234"/>
      <c r="G45" s="234"/>
      <c r="H45" s="12"/>
      <c r="I45" s="239" t="s">
        <v>74</v>
      </c>
      <c r="J45" s="240"/>
      <c r="K45" s="240"/>
      <c r="L45" s="240"/>
      <c r="M45" s="240"/>
      <c r="N45" s="240"/>
    </row>
    <row r="46" spans="2:32" ht="20" customHeight="1">
      <c r="C46" s="236" t="s">
        <v>81</v>
      </c>
      <c r="D46" s="236"/>
      <c r="E46" s="236"/>
      <c r="F46" s="236"/>
      <c r="G46" s="236"/>
      <c r="H46" s="12"/>
      <c r="I46" s="239"/>
      <c r="J46" s="240"/>
      <c r="K46" s="240"/>
      <c r="L46" s="240"/>
      <c r="M46" s="240"/>
      <c r="N46" s="240"/>
    </row>
    <row r="47" spans="2:32" ht="18" customHeight="1" thickBot="1">
      <c r="C47" s="237" t="s">
        <v>136</v>
      </c>
      <c r="D47" s="238"/>
      <c r="E47" s="238"/>
      <c r="F47" s="238"/>
      <c r="G47" s="238"/>
      <c r="H47" s="12"/>
      <c r="I47" s="239"/>
      <c r="J47" s="240"/>
      <c r="K47" s="240"/>
      <c r="L47" s="240"/>
      <c r="M47" s="240"/>
      <c r="N47" s="240"/>
    </row>
    <row r="48" spans="2:32" ht="15" customHeight="1">
      <c r="C48" s="10"/>
      <c r="D48" s="13">
        <v>2019</v>
      </c>
      <c r="E48" s="13">
        <v>2018</v>
      </c>
      <c r="F48" s="13">
        <v>2017</v>
      </c>
      <c r="G48" s="13">
        <v>2016</v>
      </c>
      <c r="H48" s="12"/>
      <c r="I48" s="182"/>
      <c r="J48" s="181"/>
      <c r="K48" s="181"/>
      <c r="L48" s="181"/>
      <c r="M48" s="181"/>
      <c r="N48" s="181"/>
    </row>
    <row r="49" spans="2:14" ht="15.75" customHeight="1" thickBot="1">
      <c r="C49" s="10"/>
      <c r="D49" s="14" t="str">
        <f t="shared" ref="D49:F49" si="4">+$G$6</f>
        <v>US$'000</v>
      </c>
      <c r="E49" s="14" t="str">
        <f t="shared" si="4"/>
        <v>US$'000</v>
      </c>
      <c r="F49" s="14" t="str">
        <f t="shared" si="4"/>
        <v>US$'000</v>
      </c>
      <c r="G49" s="14" t="str">
        <f>+$G$6</f>
        <v>US$'000</v>
      </c>
      <c r="H49" s="12"/>
      <c r="I49" s="182" t="s">
        <v>214</v>
      </c>
      <c r="J49" s="181"/>
      <c r="K49" s="181"/>
      <c r="L49" s="181"/>
      <c r="M49" s="181"/>
      <c r="N49" s="181"/>
    </row>
    <row r="50" spans="2:14" ht="12" customHeight="1">
      <c r="C50" s="10"/>
      <c r="D50" s="24"/>
      <c r="E50" s="24"/>
      <c r="F50" s="24"/>
      <c r="G50" s="24"/>
      <c r="H50" s="12"/>
      <c r="I50" s="182" t="s">
        <v>217</v>
      </c>
      <c r="J50" s="181"/>
      <c r="K50" s="181"/>
      <c r="L50" s="181"/>
      <c r="M50" s="181"/>
      <c r="N50" s="181"/>
    </row>
    <row r="51" spans="2:14" ht="15" customHeight="1">
      <c r="C51" s="159" t="s">
        <v>162</v>
      </c>
      <c r="D51" s="94"/>
      <c r="E51" s="95" t="s">
        <v>16</v>
      </c>
      <c r="F51" s="95" t="s">
        <v>16</v>
      </c>
      <c r="G51" s="95"/>
      <c r="H51" s="12"/>
      <c r="I51" s="182" t="s">
        <v>215</v>
      </c>
      <c r="J51" s="181"/>
      <c r="K51" s="181"/>
      <c r="L51" s="181"/>
      <c r="M51" s="181"/>
      <c r="N51" s="181"/>
    </row>
    <row r="52" spans="2:14" ht="15" customHeight="1">
      <c r="C52" s="149" t="s">
        <v>167</v>
      </c>
      <c r="D52" s="109"/>
      <c r="E52" s="148" t="s">
        <v>16</v>
      </c>
      <c r="F52" s="148" t="s">
        <v>16</v>
      </c>
      <c r="G52" s="148"/>
      <c r="H52" s="12"/>
      <c r="I52" s="182" t="s">
        <v>216</v>
      </c>
      <c r="J52" s="181"/>
      <c r="K52" s="181"/>
      <c r="L52" s="181"/>
      <c r="M52" s="181"/>
      <c r="N52" s="181"/>
    </row>
    <row r="53" spans="2:14" ht="15" customHeight="1">
      <c r="B53" s="210" t="s">
        <v>207</v>
      </c>
      <c r="C53" s="158" t="s">
        <v>163</v>
      </c>
      <c r="D53" s="94">
        <v>80531</v>
      </c>
      <c r="E53" s="95">
        <v>52459</v>
      </c>
      <c r="F53" s="95">
        <v>44273</v>
      </c>
      <c r="G53" s="95">
        <v>38139</v>
      </c>
      <c r="H53" s="12"/>
      <c r="I53" s="182"/>
      <c r="J53" s="181"/>
      <c r="K53" s="181"/>
      <c r="L53" s="181"/>
      <c r="M53" s="181"/>
      <c r="N53" s="181"/>
    </row>
    <row r="54" spans="2:14" ht="15" customHeight="1">
      <c r="B54" s="210" t="s">
        <v>205</v>
      </c>
      <c r="C54" s="18" t="s">
        <v>164</v>
      </c>
      <c r="D54" s="109">
        <v>45833</v>
      </c>
      <c r="E54" s="148">
        <v>38799</v>
      </c>
      <c r="F54" s="148">
        <v>32631</v>
      </c>
      <c r="G54" s="148">
        <v>29840</v>
      </c>
      <c r="H54" s="12"/>
      <c r="I54" s="182" t="s">
        <v>220</v>
      </c>
      <c r="J54" s="181"/>
      <c r="K54" s="181"/>
      <c r="L54" s="181"/>
      <c r="M54" s="181"/>
      <c r="N54" s="181"/>
    </row>
    <row r="55" spans="2:14" ht="15" customHeight="1">
      <c r="B55" s="210" t="s">
        <v>205</v>
      </c>
      <c r="C55" s="158" t="s">
        <v>192</v>
      </c>
      <c r="D55" s="94">
        <v>754</v>
      </c>
      <c r="E55" s="95">
        <v>0</v>
      </c>
      <c r="F55" s="95">
        <v>0</v>
      </c>
      <c r="G55" s="95">
        <v>0</v>
      </c>
      <c r="H55" s="12"/>
      <c r="I55" s="182"/>
      <c r="J55" s="181"/>
      <c r="K55" s="181"/>
      <c r="L55" s="181"/>
      <c r="M55" s="181"/>
      <c r="N55" s="181"/>
    </row>
    <row r="56" spans="2:14" ht="15" customHeight="1">
      <c r="B56" s="210" t="s">
        <v>205</v>
      </c>
      <c r="C56" s="145" t="s">
        <v>165</v>
      </c>
      <c r="D56" s="92">
        <v>1498</v>
      </c>
      <c r="E56" s="91">
        <v>984</v>
      </c>
      <c r="F56" s="91">
        <v>41</v>
      </c>
      <c r="G56" s="91">
        <v>566</v>
      </c>
      <c r="H56" s="12"/>
      <c r="I56" s="182"/>
      <c r="J56" s="181"/>
      <c r="K56" s="181"/>
      <c r="L56" s="181"/>
      <c r="M56" s="181"/>
      <c r="N56" s="181"/>
    </row>
    <row r="57" spans="2:14" ht="15" customHeight="1">
      <c r="B57" s="210" t="s">
        <v>205</v>
      </c>
      <c r="C57" s="158" t="s">
        <v>166</v>
      </c>
      <c r="D57" s="94">
        <v>2856</v>
      </c>
      <c r="E57" s="95">
        <v>3187</v>
      </c>
      <c r="F57" s="95">
        <v>2861</v>
      </c>
      <c r="G57" s="95">
        <v>1548</v>
      </c>
      <c r="H57" s="12"/>
      <c r="I57" s="182"/>
      <c r="J57" s="181"/>
      <c r="K57" s="181"/>
      <c r="L57" s="181"/>
      <c r="M57" s="181"/>
      <c r="N57" s="181"/>
    </row>
    <row r="58" spans="2:14" ht="15" customHeight="1">
      <c r="C58" s="176" t="s">
        <v>168</v>
      </c>
      <c r="D58" s="179">
        <f>SUM(D53:D57)</f>
        <v>131472</v>
      </c>
      <c r="E58" s="179">
        <f t="shared" ref="E58:G58" si="5">SUM(E53:E57)</f>
        <v>95429</v>
      </c>
      <c r="F58" s="179">
        <f t="shared" si="5"/>
        <v>79806</v>
      </c>
      <c r="G58" s="179">
        <f t="shared" si="5"/>
        <v>70093</v>
      </c>
      <c r="H58" s="12"/>
      <c r="I58" s="182"/>
      <c r="J58" s="181"/>
      <c r="K58" s="181"/>
      <c r="L58" s="181"/>
      <c r="M58" s="181"/>
      <c r="N58" s="181"/>
    </row>
    <row r="59" spans="2:14" ht="15" customHeight="1">
      <c r="C59" s="158"/>
      <c r="D59" s="94"/>
      <c r="E59" s="95" t="s">
        <v>16</v>
      </c>
      <c r="F59" s="95" t="s">
        <v>16</v>
      </c>
      <c r="G59" s="95"/>
      <c r="H59" s="12"/>
      <c r="I59" s="182"/>
      <c r="J59" s="181"/>
      <c r="K59" s="181"/>
      <c r="L59" s="181"/>
      <c r="M59" s="181"/>
      <c r="N59" s="181"/>
    </row>
    <row r="60" spans="2:14" ht="15" customHeight="1">
      <c r="C60" s="176" t="s">
        <v>169</v>
      </c>
      <c r="D60" s="92"/>
      <c r="E60" s="91" t="s">
        <v>16</v>
      </c>
      <c r="F60" s="91" t="s">
        <v>16</v>
      </c>
      <c r="G60" s="91"/>
      <c r="H60" s="12"/>
      <c r="I60" s="182"/>
      <c r="J60" s="181"/>
      <c r="K60" s="181"/>
      <c r="L60" s="181"/>
      <c r="M60" s="181"/>
      <c r="N60" s="181"/>
    </row>
    <row r="61" spans="2:14" ht="15" customHeight="1">
      <c r="B61" s="210" t="s">
        <v>205</v>
      </c>
      <c r="C61" s="158" t="s">
        <v>164</v>
      </c>
      <c r="D61" s="94">
        <v>2285</v>
      </c>
      <c r="E61" s="95">
        <v>1662</v>
      </c>
      <c r="F61" s="95">
        <v>2531</v>
      </c>
      <c r="G61" s="95">
        <v>5379</v>
      </c>
      <c r="H61" s="12"/>
      <c r="I61" s="182"/>
      <c r="J61" s="181"/>
      <c r="K61" s="181"/>
      <c r="L61" s="181"/>
      <c r="M61" s="181"/>
      <c r="N61" s="181"/>
    </row>
    <row r="62" spans="2:14" ht="15" customHeight="1">
      <c r="B62" s="210" t="s">
        <v>205</v>
      </c>
      <c r="C62" s="165" t="s">
        <v>170</v>
      </c>
      <c r="D62" s="92">
        <v>7762</v>
      </c>
      <c r="E62" s="91">
        <v>5712</v>
      </c>
      <c r="F62" s="91">
        <v>7317</v>
      </c>
      <c r="G62" s="91">
        <v>5091</v>
      </c>
      <c r="H62" s="12"/>
      <c r="I62" s="182"/>
      <c r="J62" s="181"/>
      <c r="K62" s="181"/>
      <c r="L62" s="181"/>
      <c r="M62" s="181"/>
      <c r="N62" s="181"/>
    </row>
    <row r="63" spans="2:14" ht="15" customHeight="1">
      <c r="B63" s="210" t="s">
        <v>205</v>
      </c>
      <c r="C63" s="158" t="s">
        <v>171</v>
      </c>
      <c r="D63" s="94">
        <v>51534</v>
      </c>
      <c r="E63" s="95">
        <v>49068</v>
      </c>
      <c r="F63" s="95">
        <v>38196</v>
      </c>
      <c r="G63" s="95">
        <v>33508</v>
      </c>
      <c r="H63" s="12"/>
      <c r="I63" s="182"/>
      <c r="J63" s="181"/>
      <c r="K63" s="181"/>
      <c r="L63" s="181"/>
      <c r="M63" s="181"/>
      <c r="N63" s="181"/>
    </row>
    <row r="64" spans="2:14" ht="15" customHeight="1">
      <c r="B64" s="210" t="s">
        <v>205</v>
      </c>
      <c r="C64" s="145" t="s">
        <v>172</v>
      </c>
      <c r="D64" s="155">
        <v>84873</v>
      </c>
      <c r="E64" s="156">
        <v>82120</v>
      </c>
      <c r="F64" s="156">
        <v>82946</v>
      </c>
      <c r="G64" s="156">
        <v>82301</v>
      </c>
      <c r="H64" s="12"/>
      <c r="I64" s="182"/>
      <c r="J64" s="181"/>
      <c r="K64" s="181"/>
      <c r="L64" s="181"/>
      <c r="M64" s="181"/>
      <c r="N64" s="181"/>
    </row>
    <row r="65" spans="2:14" ht="15" customHeight="1">
      <c r="C65" s="146" t="s">
        <v>173</v>
      </c>
      <c r="D65" s="157">
        <f>SUM(D61:D64)</f>
        <v>146454</v>
      </c>
      <c r="E65" s="160">
        <f t="shared" ref="E65:G65" si="6">SUM(E61:E64)</f>
        <v>138562</v>
      </c>
      <c r="F65" s="160">
        <f t="shared" si="6"/>
        <v>130990</v>
      </c>
      <c r="G65" s="160">
        <f t="shared" si="6"/>
        <v>126279</v>
      </c>
      <c r="H65" s="12"/>
      <c r="I65" s="182"/>
      <c r="J65" s="181"/>
      <c r="K65" s="181"/>
      <c r="L65" s="181"/>
      <c r="M65" s="181"/>
      <c r="N65" s="181"/>
    </row>
    <row r="66" spans="2:14" ht="15" customHeight="1">
      <c r="C66" s="176"/>
      <c r="D66" s="177"/>
      <c r="E66" s="178"/>
      <c r="F66" s="178"/>
      <c r="G66" s="178"/>
      <c r="H66" s="12"/>
      <c r="I66" s="182"/>
      <c r="J66" s="181"/>
      <c r="K66" s="181"/>
      <c r="L66" s="181"/>
      <c r="M66" s="181"/>
      <c r="N66" s="181"/>
    </row>
    <row r="67" spans="2:14" ht="15.75" customHeight="1">
      <c r="C67" s="146" t="s">
        <v>185</v>
      </c>
      <c r="D67" s="150">
        <f>D58+D65</f>
        <v>277926</v>
      </c>
      <c r="E67" s="171">
        <f t="shared" ref="E67:G67" si="7">E58+E65</f>
        <v>233991</v>
      </c>
      <c r="F67" s="171">
        <f t="shared" si="7"/>
        <v>210796</v>
      </c>
      <c r="G67" s="171">
        <f t="shared" si="7"/>
        <v>196372</v>
      </c>
      <c r="H67" s="12"/>
      <c r="I67" s="182"/>
      <c r="J67" s="181"/>
      <c r="K67" s="181"/>
      <c r="L67" s="181"/>
      <c r="M67" s="181"/>
      <c r="N67" s="181"/>
    </row>
    <row r="68" spans="2:14" ht="15" customHeight="1">
      <c r="C68" s="90"/>
      <c r="D68" s="92"/>
      <c r="E68" s="91" t="s">
        <v>16</v>
      </c>
      <c r="F68" s="91" t="s">
        <v>16</v>
      </c>
      <c r="G68" s="91"/>
      <c r="H68" s="12"/>
      <c r="I68" s="182"/>
      <c r="J68" s="181"/>
      <c r="K68" s="181"/>
      <c r="L68" s="181"/>
      <c r="M68" s="181"/>
      <c r="N68" s="181"/>
    </row>
    <row r="69" spans="2:14" ht="15" customHeight="1">
      <c r="C69" s="159" t="s">
        <v>174</v>
      </c>
      <c r="D69" s="94"/>
      <c r="E69" s="95" t="s">
        <v>16</v>
      </c>
      <c r="F69" s="95" t="s">
        <v>16</v>
      </c>
      <c r="G69" s="95"/>
      <c r="H69" s="12"/>
      <c r="I69" s="182"/>
      <c r="J69" s="181"/>
      <c r="K69" s="181"/>
      <c r="L69" s="181"/>
      <c r="M69" s="181"/>
      <c r="N69" s="181"/>
    </row>
    <row r="70" spans="2:14" ht="15" customHeight="1">
      <c r="C70" s="149" t="s">
        <v>175</v>
      </c>
      <c r="D70" s="109"/>
      <c r="E70" s="148"/>
      <c r="F70" s="148"/>
      <c r="G70" s="148"/>
      <c r="H70" s="12"/>
      <c r="I70" s="182"/>
      <c r="J70" s="181"/>
      <c r="K70" s="181"/>
      <c r="L70" s="181"/>
      <c r="M70" s="181"/>
      <c r="N70" s="181"/>
    </row>
    <row r="71" spans="2:14" ht="15" customHeight="1">
      <c r="B71" s="210" t="s">
        <v>206</v>
      </c>
      <c r="C71" s="158" t="s">
        <v>218</v>
      </c>
      <c r="D71" s="94">
        <v>0</v>
      </c>
      <c r="E71" s="95">
        <v>0</v>
      </c>
      <c r="F71" s="95">
        <v>0</v>
      </c>
      <c r="G71" s="95">
        <v>51</v>
      </c>
      <c r="H71" s="12"/>
      <c r="I71" s="182"/>
      <c r="J71" s="181"/>
      <c r="K71" s="181"/>
      <c r="L71" s="181"/>
      <c r="M71" s="181"/>
      <c r="N71" s="181"/>
    </row>
    <row r="72" spans="2:14" ht="15" customHeight="1">
      <c r="B72" s="210" t="s">
        <v>205</v>
      </c>
      <c r="C72" s="145" t="s">
        <v>219</v>
      </c>
      <c r="D72" s="109">
        <v>16278</v>
      </c>
      <c r="E72" s="148">
        <v>12147</v>
      </c>
      <c r="F72" s="148">
        <v>10179</v>
      </c>
      <c r="G72" s="148">
        <v>7137</v>
      </c>
      <c r="H72" s="12"/>
      <c r="I72" s="182"/>
      <c r="J72" s="181"/>
      <c r="K72" s="181"/>
      <c r="L72" s="181"/>
      <c r="M72" s="181"/>
      <c r="N72" s="181"/>
    </row>
    <row r="73" spans="2:14" ht="15" customHeight="1">
      <c r="B73" s="210" t="s">
        <v>205</v>
      </c>
      <c r="C73" s="158" t="s">
        <v>176</v>
      </c>
      <c r="D73" s="94">
        <v>5705</v>
      </c>
      <c r="E73" s="95">
        <v>772</v>
      </c>
      <c r="F73" s="95">
        <v>1008</v>
      </c>
      <c r="G73" s="95">
        <v>2713</v>
      </c>
      <c r="H73" s="12"/>
      <c r="I73" s="182"/>
      <c r="J73" s="181"/>
      <c r="K73" s="181"/>
      <c r="L73" s="181"/>
      <c r="M73" s="181"/>
      <c r="N73" s="181"/>
    </row>
    <row r="74" spans="2:14" ht="15.75" customHeight="1">
      <c r="B74" s="210" t="s">
        <v>205</v>
      </c>
      <c r="C74" s="145" t="s">
        <v>212</v>
      </c>
      <c r="D74" s="109">
        <v>2109</v>
      </c>
      <c r="E74" s="148">
        <v>1711</v>
      </c>
      <c r="F74" s="148">
        <v>1451</v>
      </c>
      <c r="G74" s="148">
        <v>1254</v>
      </c>
      <c r="H74" s="12"/>
      <c r="I74" s="182"/>
      <c r="J74" s="181"/>
      <c r="K74" s="181"/>
      <c r="L74" s="181"/>
      <c r="M74" s="181"/>
      <c r="N74" s="181"/>
    </row>
    <row r="75" spans="2:14" ht="15.75" customHeight="1">
      <c r="B75" s="210" t="s">
        <v>206</v>
      </c>
      <c r="C75" s="158" t="s">
        <v>213</v>
      </c>
      <c r="D75" s="94">
        <v>0</v>
      </c>
      <c r="E75" s="95">
        <v>5073</v>
      </c>
      <c r="F75" s="95">
        <v>6149</v>
      </c>
      <c r="G75" s="95">
        <v>2314</v>
      </c>
      <c r="H75" s="12"/>
      <c r="I75" s="182"/>
      <c r="J75" s="181"/>
      <c r="K75" s="181"/>
      <c r="L75" s="181"/>
      <c r="M75" s="181"/>
      <c r="N75" s="181"/>
    </row>
    <row r="76" spans="2:14" ht="15" customHeight="1">
      <c r="B76" s="210" t="s">
        <v>205</v>
      </c>
      <c r="C76" s="151" t="s">
        <v>178</v>
      </c>
      <c r="D76" s="166">
        <v>48277</v>
      </c>
      <c r="E76" s="175">
        <v>43989</v>
      </c>
      <c r="F76" s="175">
        <v>38436</v>
      </c>
      <c r="G76" s="175">
        <v>32234</v>
      </c>
      <c r="H76" s="12"/>
      <c r="I76" s="182"/>
      <c r="J76" s="181"/>
      <c r="K76" s="181"/>
      <c r="L76" s="181"/>
      <c r="M76" s="181"/>
      <c r="N76" s="181"/>
    </row>
    <row r="77" spans="2:14" ht="15" customHeight="1">
      <c r="B77" s="18"/>
      <c r="C77" s="146" t="s">
        <v>179</v>
      </c>
      <c r="D77" s="157">
        <f>SUM(D71:D76)</f>
        <v>72369</v>
      </c>
      <c r="E77" s="160">
        <f t="shared" ref="E77:G77" si="8">SUM(E71:E76)</f>
        <v>63692</v>
      </c>
      <c r="F77" s="160">
        <f t="shared" si="8"/>
        <v>57223</v>
      </c>
      <c r="G77" s="160">
        <f t="shared" si="8"/>
        <v>45703</v>
      </c>
      <c r="H77" s="10"/>
      <c r="I77" s="182"/>
      <c r="J77" s="181"/>
      <c r="K77" s="181"/>
      <c r="L77" s="181"/>
      <c r="M77" s="181"/>
      <c r="N77" s="181"/>
    </row>
    <row r="78" spans="2:14" ht="15" customHeight="1">
      <c r="B78" s="18"/>
      <c r="C78" s="108"/>
      <c r="D78" s="109"/>
      <c r="E78" s="148" t="s">
        <v>16</v>
      </c>
      <c r="F78" s="148" t="s">
        <v>16</v>
      </c>
      <c r="G78" s="148"/>
      <c r="H78" s="10"/>
      <c r="I78" s="182"/>
      <c r="J78" s="181"/>
      <c r="K78" s="181"/>
      <c r="L78" s="181"/>
      <c r="M78" s="181"/>
      <c r="N78" s="181"/>
    </row>
    <row r="79" spans="2:14" ht="15" customHeight="1">
      <c r="B79" s="18"/>
      <c r="C79" s="146" t="s">
        <v>180</v>
      </c>
      <c r="D79" s="94"/>
      <c r="E79" s="95"/>
      <c r="F79" s="95"/>
      <c r="G79" s="95"/>
      <c r="H79" s="10"/>
      <c r="I79" s="182"/>
      <c r="J79" s="181"/>
      <c r="K79" s="181"/>
      <c r="L79" s="181"/>
      <c r="M79" s="181"/>
      <c r="N79" s="181"/>
    </row>
    <row r="80" spans="2:14" ht="15" customHeight="1">
      <c r="B80" s="209" t="s">
        <v>206</v>
      </c>
      <c r="C80" s="151" t="s">
        <v>218</v>
      </c>
      <c r="D80" s="109">
        <v>0</v>
      </c>
      <c r="E80" s="148">
        <v>0</v>
      </c>
      <c r="F80" s="148">
        <v>0</v>
      </c>
      <c r="G80" s="148">
        <v>20</v>
      </c>
      <c r="H80" s="10"/>
      <c r="I80" s="182"/>
      <c r="J80" s="181"/>
      <c r="K80" s="181"/>
      <c r="L80" s="181"/>
      <c r="M80" s="181"/>
      <c r="N80" s="181"/>
    </row>
    <row r="81" spans="2:14" ht="15" customHeight="1">
      <c r="B81" s="209" t="s">
        <v>205</v>
      </c>
      <c r="C81" s="158" t="s">
        <v>181</v>
      </c>
      <c r="D81" s="94">
        <v>5833</v>
      </c>
      <c r="E81" s="95">
        <v>5566</v>
      </c>
      <c r="F81" s="95">
        <v>5276</v>
      </c>
      <c r="G81" s="95">
        <v>4793</v>
      </c>
      <c r="H81" s="10"/>
      <c r="I81" s="182"/>
      <c r="J81" s="181"/>
      <c r="K81" s="181"/>
      <c r="L81" s="181"/>
      <c r="M81" s="181"/>
      <c r="N81" s="181"/>
    </row>
    <row r="82" spans="2:14" ht="15" customHeight="1">
      <c r="B82" s="209" t="s">
        <v>205</v>
      </c>
      <c r="C82" s="151" t="s">
        <v>177</v>
      </c>
      <c r="D82" s="109">
        <v>6407</v>
      </c>
      <c r="E82" s="148">
        <v>3974</v>
      </c>
      <c r="F82" s="148">
        <v>703</v>
      </c>
      <c r="G82" s="148">
        <v>4230</v>
      </c>
      <c r="H82" s="10"/>
      <c r="I82" s="182"/>
      <c r="J82" s="181"/>
      <c r="K82" s="181"/>
      <c r="L82" s="181"/>
      <c r="M82" s="181"/>
      <c r="N82" s="181"/>
    </row>
    <row r="83" spans="2:14" ht="15" customHeight="1">
      <c r="B83" s="209" t="s">
        <v>205</v>
      </c>
      <c r="C83" s="158" t="s">
        <v>178</v>
      </c>
      <c r="D83" s="94">
        <v>6875</v>
      </c>
      <c r="E83" s="95">
        <v>6035</v>
      </c>
      <c r="F83" s="95">
        <v>6958</v>
      </c>
      <c r="G83" s="95">
        <v>9038</v>
      </c>
      <c r="H83" s="10"/>
      <c r="I83" s="182"/>
      <c r="J83" s="181"/>
      <c r="K83" s="181"/>
      <c r="L83" s="181"/>
      <c r="M83" s="181"/>
      <c r="N83" s="181"/>
    </row>
    <row r="84" spans="2:14" ht="15" customHeight="1">
      <c r="B84" s="209" t="s">
        <v>205</v>
      </c>
      <c r="C84" s="151" t="s">
        <v>182</v>
      </c>
      <c r="D84" s="166">
        <v>1884</v>
      </c>
      <c r="E84" s="175">
        <v>2098</v>
      </c>
      <c r="F84" s="175">
        <v>674</v>
      </c>
      <c r="G84" s="175">
        <v>1793</v>
      </c>
      <c r="H84" s="10"/>
      <c r="I84" s="182"/>
      <c r="J84" s="181"/>
      <c r="K84" s="181"/>
      <c r="L84" s="181"/>
      <c r="M84" s="181"/>
      <c r="N84" s="181"/>
    </row>
    <row r="85" spans="2:14">
      <c r="C85" s="146" t="s">
        <v>183</v>
      </c>
      <c r="D85" s="157">
        <f>SUM(D80:D84)</f>
        <v>20999</v>
      </c>
      <c r="E85" s="160">
        <f t="shared" ref="E85:G85" si="9">SUM(E80:E84)</f>
        <v>17673</v>
      </c>
      <c r="F85" s="160">
        <f t="shared" si="9"/>
        <v>13611</v>
      </c>
      <c r="G85" s="160">
        <f t="shared" si="9"/>
        <v>19874</v>
      </c>
      <c r="H85" s="12"/>
      <c r="I85" s="182"/>
      <c r="J85" s="181"/>
      <c r="K85" s="181"/>
      <c r="L85" s="181"/>
      <c r="M85" s="181"/>
      <c r="N85" s="181"/>
    </row>
    <row r="86" spans="2:14">
      <c r="C86" s="151"/>
      <c r="D86" s="109"/>
      <c r="E86" s="148" t="s">
        <v>16</v>
      </c>
      <c r="F86" s="148" t="s">
        <v>16</v>
      </c>
      <c r="G86" s="148"/>
      <c r="H86" s="12"/>
      <c r="I86" s="182"/>
      <c r="J86" s="181"/>
      <c r="K86" s="181"/>
      <c r="L86" s="181"/>
      <c r="M86" s="181"/>
      <c r="N86" s="181"/>
    </row>
    <row r="87" spans="2:14">
      <c r="C87" s="146" t="s">
        <v>184</v>
      </c>
      <c r="D87" s="150">
        <f>D77+D85</f>
        <v>93368</v>
      </c>
      <c r="E87" s="171">
        <f t="shared" ref="E87:G87" si="10">E77+E85</f>
        <v>81365</v>
      </c>
      <c r="F87" s="171">
        <f t="shared" si="10"/>
        <v>70834</v>
      </c>
      <c r="G87" s="171">
        <f t="shared" si="10"/>
        <v>65577</v>
      </c>
      <c r="H87" s="12"/>
      <c r="I87" s="182"/>
      <c r="J87" s="181"/>
      <c r="K87" s="181"/>
      <c r="L87" s="181"/>
      <c r="M87" s="181"/>
      <c r="N87" s="181"/>
    </row>
    <row r="88" spans="2:14">
      <c r="C88" s="151"/>
      <c r="D88" s="109"/>
      <c r="E88" s="148"/>
      <c r="F88" s="148"/>
      <c r="G88" s="148"/>
      <c r="H88" s="12"/>
      <c r="I88" s="182"/>
      <c r="J88" s="181"/>
      <c r="K88" s="181"/>
      <c r="L88" s="181"/>
      <c r="M88" s="181"/>
      <c r="N88" s="181"/>
    </row>
    <row r="89" spans="2:14" ht="13" thickBot="1">
      <c r="C89" s="146" t="s">
        <v>189</v>
      </c>
      <c r="D89" s="213">
        <f>D67-D87</f>
        <v>184558</v>
      </c>
      <c r="E89" s="214">
        <f>E67-E87</f>
        <v>152626</v>
      </c>
      <c r="F89" s="214">
        <f>F67-F87</f>
        <v>139962</v>
      </c>
      <c r="G89" s="214">
        <f>G67-G87</f>
        <v>130795</v>
      </c>
      <c r="H89" s="12"/>
      <c r="I89" s="182"/>
      <c r="J89" s="181"/>
      <c r="K89" s="181"/>
      <c r="L89" s="181"/>
      <c r="M89" s="181"/>
      <c r="N89" s="181"/>
    </row>
    <row r="90" spans="2:14">
      <c r="C90" s="151"/>
      <c r="D90" s="109"/>
      <c r="E90" s="148"/>
      <c r="F90" s="148"/>
      <c r="G90" s="148"/>
      <c r="H90" s="12"/>
      <c r="I90" s="182"/>
      <c r="J90" s="181"/>
      <c r="K90" s="181"/>
      <c r="L90" s="181"/>
      <c r="M90" s="181"/>
      <c r="N90" s="181"/>
    </row>
    <row r="91" spans="2:14">
      <c r="C91" s="159" t="s">
        <v>191</v>
      </c>
      <c r="D91" s="94"/>
      <c r="E91" s="95"/>
      <c r="F91" s="95"/>
      <c r="G91" s="95"/>
      <c r="H91" s="12"/>
      <c r="I91" s="182"/>
      <c r="J91" s="181"/>
      <c r="K91" s="181"/>
      <c r="L91" s="181"/>
      <c r="M91" s="181"/>
      <c r="N91" s="181"/>
    </row>
    <row r="92" spans="2:14">
      <c r="B92" s="210" t="s">
        <v>208</v>
      </c>
      <c r="C92" s="151" t="s">
        <v>186</v>
      </c>
      <c r="D92" s="109">
        <v>126058</v>
      </c>
      <c r="E92" s="148">
        <v>125635</v>
      </c>
      <c r="F92" s="148">
        <v>125177</v>
      </c>
      <c r="G92" s="148">
        <v>125177</v>
      </c>
      <c r="H92" s="12"/>
      <c r="I92" s="182"/>
      <c r="J92" s="181"/>
      <c r="K92" s="181"/>
      <c r="L92" s="181"/>
      <c r="M92" s="181"/>
      <c r="N92" s="181"/>
    </row>
    <row r="93" spans="2:14">
      <c r="B93" s="210" t="s">
        <v>208</v>
      </c>
      <c r="C93" s="158" t="s">
        <v>187</v>
      </c>
      <c r="D93" s="94">
        <v>19079</v>
      </c>
      <c r="E93" s="95">
        <v>12625</v>
      </c>
      <c r="F93" s="95">
        <v>12275</v>
      </c>
      <c r="G93" s="95">
        <v>10394</v>
      </c>
      <c r="H93" s="12"/>
      <c r="I93" s="182"/>
      <c r="J93" s="181"/>
      <c r="K93" s="181"/>
      <c r="L93" s="181"/>
      <c r="M93" s="181"/>
      <c r="N93" s="181"/>
    </row>
    <row r="94" spans="2:14">
      <c r="B94" s="210" t="s">
        <v>208</v>
      </c>
      <c r="C94" s="151" t="s">
        <v>188</v>
      </c>
      <c r="D94" s="109">
        <v>39421</v>
      </c>
      <c r="E94" s="148">
        <v>14366</v>
      </c>
      <c r="F94" s="148">
        <v>2510</v>
      </c>
      <c r="G94" s="148">
        <v>-4776</v>
      </c>
      <c r="H94" s="12"/>
      <c r="I94" s="182"/>
      <c r="J94" s="181"/>
      <c r="K94" s="181"/>
      <c r="L94" s="181"/>
      <c r="M94" s="181"/>
      <c r="N94" s="181"/>
    </row>
    <row r="95" spans="2:14" ht="13" thickBot="1">
      <c r="C95" s="146" t="s">
        <v>190</v>
      </c>
      <c r="D95" s="213">
        <f>SUM(D92:D94)</f>
        <v>184558</v>
      </c>
      <c r="E95" s="214">
        <f t="shared" ref="E95:G95" si="11">SUM(E92:E94)</f>
        <v>152626</v>
      </c>
      <c r="F95" s="214">
        <f t="shared" si="11"/>
        <v>139962</v>
      </c>
      <c r="G95" s="214">
        <f t="shared" si="11"/>
        <v>130795</v>
      </c>
      <c r="H95" s="12"/>
      <c r="I95" s="182"/>
      <c r="J95" s="181"/>
      <c r="K95" s="181"/>
      <c r="L95" s="181"/>
      <c r="M95" s="181"/>
      <c r="N95" s="181"/>
    </row>
    <row r="96" spans="2:14">
      <c r="C96" s="10"/>
      <c r="D96" s="23"/>
      <c r="E96" s="34"/>
      <c r="F96" s="34"/>
      <c r="G96" s="34"/>
      <c r="H96" s="12"/>
      <c r="I96" s="182"/>
      <c r="J96" s="181"/>
      <c r="K96" s="181"/>
      <c r="L96" s="181"/>
      <c r="M96" s="181"/>
      <c r="N96" s="181"/>
    </row>
    <row r="97" spans="3:14" ht="15" customHeight="1">
      <c r="C97" s="12"/>
      <c r="D97" s="12"/>
      <c r="E97" s="35"/>
      <c r="F97" s="35"/>
      <c r="G97" s="35"/>
      <c r="H97" s="12"/>
      <c r="I97" s="182"/>
      <c r="J97" s="181"/>
      <c r="K97" s="181"/>
      <c r="L97" s="181"/>
      <c r="M97" s="181"/>
      <c r="N97" s="181"/>
    </row>
    <row r="98" spans="3:14" ht="16">
      <c r="C98" s="230" t="s">
        <v>60</v>
      </c>
      <c r="D98" s="231"/>
      <c r="E98" s="231"/>
      <c r="F98" s="231"/>
      <c r="G98" s="231"/>
      <c r="H98" s="231"/>
      <c r="I98" s="182"/>
      <c r="J98" s="181"/>
      <c r="K98" s="181"/>
      <c r="L98" s="181"/>
      <c r="M98" s="181"/>
      <c r="N98" s="181"/>
    </row>
    <row r="99" spans="3:14">
      <c r="C99" s="227" t="s">
        <v>71</v>
      </c>
      <c r="D99" s="228"/>
      <c r="E99" s="228"/>
      <c r="F99" s="228"/>
      <c r="G99" s="228"/>
      <c r="H99" s="228"/>
      <c r="I99" s="182"/>
      <c r="J99" s="181"/>
      <c r="K99" s="181"/>
      <c r="L99" s="181"/>
      <c r="M99" s="181"/>
      <c r="N99" s="181"/>
    </row>
    <row r="100" spans="3:14">
      <c r="C100" s="227"/>
      <c r="D100" s="228"/>
      <c r="E100" s="228"/>
      <c r="F100" s="228"/>
      <c r="G100" s="228"/>
      <c r="H100" s="228"/>
      <c r="I100" s="182"/>
      <c r="J100" s="181"/>
      <c r="K100" s="181"/>
      <c r="L100" s="181"/>
      <c r="M100" s="181"/>
      <c r="N100" s="181"/>
    </row>
    <row r="101" spans="3:14">
      <c r="C101" s="25"/>
      <c r="D101" s="1"/>
      <c r="E101" s="36"/>
      <c r="F101" s="36"/>
      <c r="G101" s="36"/>
      <c r="H101" s="1"/>
      <c r="I101" s="182"/>
      <c r="J101" s="181"/>
      <c r="K101" s="181"/>
      <c r="L101" s="181"/>
      <c r="M101" s="181"/>
      <c r="N101" s="181"/>
    </row>
    <row r="102" spans="3:14">
      <c r="C102" s="163" t="s">
        <v>193</v>
      </c>
      <c r="D102" s="1"/>
      <c r="E102" s="36"/>
      <c r="F102" s="36"/>
      <c r="G102" s="36"/>
      <c r="H102" s="1"/>
      <c r="I102" s="182"/>
      <c r="J102" s="181"/>
      <c r="K102" s="181"/>
      <c r="L102" s="181"/>
      <c r="M102" s="181"/>
      <c r="N102" s="181"/>
    </row>
    <row r="103" spans="3:14">
      <c r="C103" s="25"/>
      <c r="D103" s="1"/>
      <c r="E103" s="36"/>
      <c r="F103" s="36"/>
      <c r="G103" s="36"/>
      <c r="H103" s="1"/>
      <c r="I103" s="182"/>
      <c r="J103" s="181"/>
      <c r="K103" s="181"/>
      <c r="L103" s="181"/>
      <c r="M103" s="181"/>
      <c r="N103" s="181"/>
    </row>
    <row r="104" spans="3:14">
      <c r="C104" s="25" t="s">
        <v>200</v>
      </c>
      <c r="D104" s="161">
        <f>D11+D29</f>
        <v>57612</v>
      </c>
      <c r="E104" s="161">
        <f>E11+E29</f>
        <v>39703</v>
      </c>
      <c r="F104" s="161">
        <f>F11+F29</f>
        <v>29472</v>
      </c>
      <c r="G104" s="161">
        <f>G11+G29</f>
        <v>24610</v>
      </c>
      <c r="H104" s="1"/>
      <c r="I104" s="182"/>
      <c r="J104" s="181"/>
      <c r="K104" s="181"/>
      <c r="L104" s="181"/>
      <c r="M104" s="181"/>
      <c r="N104" s="181"/>
    </row>
    <row r="105" spans="3:14">
      <c r="C105" s="25" t="s">
        <v>198</v>
      </c>
      <c r="D105" s="161">
        <f>D31</f>
        <v>57612</v>
      </c>
      <c r="E105" s="161">
        <f>E31</f>
        <v>39703</v>
      </c>
      <c r="F105" s="161">
        <f>F31</f>
        <v>29472</v>
      </c>
      <c r="G105" s="161">
        <f>G31</f>
        <v>24610</v>
      </c>
      <c r="H105" s="1"/>
      <c r="I105" s="182"/>
      <c r="J105" s="181"/>
      <c r="K105" s="181"/>
      <c r="L105" s="181"/>
      <c r="M105" s="181"/>
      <c r="N105" s="181"/>
    </row>
    <row r="106" spans="3:14">
      <c r="C106" s="25" t="s">
        <v>197</v>
      </c>
      <c r="D106" s="162">
        <f>D104-D105</f>
        <v>0</v>
      </c>
      <c r="E106" s="162">
        <f t="shared" ref="E106:G106" si="12">E104-E105</f>
        <v>0</v>
      </c>
      <c r="F106" s="162">
        <f t="shared" si="12"/>
        <v>0</v>
      </c>
      <c r="G106" s="162">
        <f t="shared" si="12"/>
        <v>0</v>
      </c>
      <c r="H106" s="1"/>
      <c r="I106" s="182"/>
      <c r="J106" s="181"/>
      <c r="K106" s="181"/>
      <c r="L106" s="181"/>
      <c r="M106" s="181"/>
      <c r="N106" s="181"/>
    </row>
    <row r="107" spans="3:14">
      <c r="C107" s="25"/>
      <c r="D107" s="161"/>
      <c r="E107" s="36"/>
      <c r="F107" s="36"/>
      <c r="G107" s="36"/>
      <c r="H107" s="1"/>
      <c r="I107" s="182"/>
      <c r="J107" s="181"/>
      <c r="K107" s="181"/>
      <c r="L107" s="181"/>
      <c r="M107" s="181"/>
      <c r="N107" s="181"/>
    </row>
    <row r="108" spans="3:14">
      <c r="C108" s="25" t="s">
        <v>201</v>
      </c>
      <c r="D108" s="161">
        <f>D31+D32</f>
        <v>52893</v>
      </c>
      <c r="E108" s="161">
        <f>E31+E32</f>
        <v>37489</v>
      </c>
      <c r="F108" s="161">
        <f>F31+F32</f>
        <v>28077</v>
      </c>
      <c r="G108" s="161">
        <f>G31+G32</f>
        <v>23020</v>
      </c>
      <c r="H108" s="1"/>
      <c r="I108" s="182"/>
      <c r="J108" s="181"/>
      <c r="K108" s="181"/>
      <c r="L108" s="181"/>
      <c r="M108" s="181"/>
      <c r="N108" s="181"/>
    </row>
    <row r="109" spans="3:14">
      <c r="C109" s="25" t="s">
        <v>202</v>
      </c>
      <c r="D109" s="161">
        <f>D33</f>
        <v>52893</v>
      </c>
      <c r="E109" s="161">
        <f>E33</f>
        <v>37489</v>
      </c>
      <c r="F109" s="161">
        <f>F33</f>
        <v>28077</v>
      </c>
      <c r="G109" s="161">
        <f>G33</f>
        <v>23020</v>
      </c>
      <c r="H109" s="1"/>
      <c r="I109" s="182"/>
      <c r="J109" s="181"/>
      <c r="K109" s="181"/>
      <c r="L109" s="181"/>
      <c r="M109" s="181"/>
      <c r="N109" s="181"/>
    </row>
    <row r="110" spans="3:14">
      <c r="C110" s="25" t="s">
        <v>197</v>
      </c>
      <c r="D110" s="162">
        <f>D108-D109</f>
        <v>0</v>
      </c>
      <c r="E110" s="162">
        <f t="shared" ref="E110:G110" si="13">E108-E109</f>
        <v>0</v>
      </c>
      <c r="F110" s="162">
        <f t="shared" si="13"/>
        <v>0</v>
      </c>
      <c r="G110" s="162">
        <f t="shared" si="13"/>
        <v>0</v>
      </c>
      <c r="H110" s="1"/>
      <c r="I110" s="182"/>
      <c r="J110" s="181"/>
      <c r="K110" s="181"/>
      <c r="L110" s="181"/>
      <c r="M110" s="181"/>
      <c r="N110" s="181"/>
    </row>
    <row r="111" spans="3:14">
      <c r="C111" s="25"/>
      <c r="D111" s="1"/>
      <c r="E111" s="36"/>
      <c r="F111" s="36"/>
      <c r="G111" s="36"/>
      <c r="H111" s="1"/>
      <c r="I111" s="182"/>
      <c r="J111" s="181"/>
      <c r="K111" s="181"/>
      <c r="L111" s="181"/>
      <c r="M111" s="181"/>
      <c r="N111" s="181"/>
    </row>
    <row r="112" spans="3:14">
      <c r="C112" s="163" t="s">
        <v>194</v>
      </c>
      <c r="D112" s="1"/>
      <c r="E112" s="36"/>
      <c r="F112" s="36"/>
      <c r="G112" s="36"/>
      <c r="H112" s="1"/>
      <c r="I112" s="182"/>
      <c r="J112" s="181"/>
      <c r="K112" s="181"/>
      <c r="L112" s="181"/>
      <c r="M112" s="181"/>
      <c r="N112" s="181"/>
    </row>
    <row r="113" spans="3:14">
      <c r="C113" s="25"/>
      <c r="D113" s="1"/>
      <c r="E113" s="36"/>
      <c r="F113" s="36"/>
      <c r="G113" s="36"/>
      <c r="H113" s="1"/>
      <c r="I113" s="182"/>
      <c r="J113" s="181"/>
      <c r="K113" s="181"/>
      <c r="L113" s="181"/>
      <c r="M113" s="181"/>
      <c r="N113" s="181"/>
    </row>
    <row r="114" spans="3:14">
      <c r="C114" s="25" t="s">
        <v>199</v>
      </c>
      <c r="D114" s="161">
        <f>D67-D87</f>
        <v>184558</v>
      </c>
      <c r="E114" s="161">
        <f>E67-E87</f>
        <v>152626</v>
      </c>
      <c r="F114" s="161">
        <f>F67-F87</f>
        <v>139962</v>
      </c>
      <c r="G114" s="161">
        <f>G67-G87</f>
        <v>130795</v>
      </c>
      <c r="H114" s="1"/>
      <c r="I114" s="182"/>
      <c r="J114" s="181"/>
      <c r="K114" s="181"/>
      <c r="L114" s="181"/>
      <c r="M114" s="181"/>
      <c r="N114" s="181"/>
    </row>
    <row r="115" spans="3:14">
      <c r="C115" s="25" t="s">
        <v>191</v>
      </c>
      <c r="D115" s="161">
        <f>D95</f>
        <v>184558</v>
      </c>
      <c r="E115" s="161">
        <f t="shared" ref="E115:G115" si="14">E95</f>
        <v>152626</v>
      </c>
      <c r="F115" s="161">
        <f t="shared" si="14"/>
        <v>139962</v>
      </c>
      <c r="G115" s="161">
        <f t="shared" si="14"/>
        <v>130795</v>
      </c>
      <c r="H115" s="1"/>
      <c r="I115" s="182"/>
      <c r="J115" s="181"/>
      <c r="K115" s="181"/>
      <c r="L115" s="181"/>
      <c r="M115" s="181"/>
      <c r="N115" s="181"/>
    </row>
    <row r="116" spans="3:14">
      <c r="C116" s="25" t="s">
        <v>197</v>
      </c>
      <c r="D116" s="162">
        <f>D114-D115</f>
        <v>0</v>
      </c>
      <c r="E116" s="162">
        <f t="shared" ref="E116:G116" si="15">E114-E115</f>
        <v>0</v>
      </c>
      <c r="F116" s="162">
        <f t="shared" si="15"/>
        <v>0</v>
      </c>
      <c r="G116" s="162">
        <f t="shared" si="15"/>
        <v>0</v>
      </c>
      <c r="H116" s="1" t="s">
        <v>16</v>
      </c>
      <c r="I116" s="182"/>
      <c r="J116" s="181"/>
      <c r="K116" s="181"/>
      <c r="L116" s="181"/>
      <c r="M116" s="181"/>
      <c r="N116" s="181"/>
    </row>
    <row r="117" spans="3:14">
      <c r="C117" s="25"/>
      <c r="D117" s="161"/>
      <c r="E117" s="161"/>
      <c r="F117" s="161"/>
      <c r="G117" s="161"/>
      <c r="H117" s="1"/>
      <c r="I117" s="182"/>
      <c r="J117" s="181"/>
      <c r="K117" s="181"/>
      <c r="L117" s="181"/>
      <c r="M117" s="181"/>
      <c r="N117" s="181"/>
    </row>
    <row r="118" spans="3:14">
      <c r="I118" s="182"/>
      <c r="J118" s="181"/>
      <c r="K118" s="181"/>
      <c r="L118" s="181"/>
      <c r="M118" s="181"/>
      <c r="N118" s="181"/>
    </row>
  </sheetData>
  <mergeCells count="12">
    <mergeCell ref="I1:N1"/>
    <mergeCell ref="I44:N44"/>
    <mergeCell ref="C99:H100"/>
    <mergeCell ref="C98:H98"/>
    <mergeCell ref="I2:N43"/>
    <mergeCell ref="C2:G2"/>
    <mergeCell ref="C3:G3"/>
    <mergeCell ref="C4:G4"/>
    <mergeCell ref="C45:G45"/>
    <mergeCell ref="C47:G47"/>
    <mergeCell ref="C46:G46"/>
    <mergeCell ref="I45:N47"/>
  </mergeCells>
  <phoneticPr fontId="2" type="noConversion"/>
  <pageMargins left="0.75" right="0.75" top="1" bottom="1" header="0.5" footer="0.5"/>
  <headerFooter alignWithMargins="0"/>
  <rowBreaks count="2" manualBreakCount="2">
    <brk id="43" max="16383" man="1"/>
    <brk id="96" max="16383" man="1"/>
  </rowBreaks>
  <colBreaks count="1" manualBreakCount="1">
    <brk id="8" max="1048575" man="1"/>
  </colBreaks>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8" tint="0.59999389629810485"/>
  </sheetPr>
  <dimension ref="A1:O127"/>
  <sheetViews>
    <sheetView topLeftCell="A111" zoomScale="125" zoomScaleNormal="125" zoomScalePageLayoutView="125" workbookViewId="0">
      <selection activeCell="B21" sqref="B21"/>
    </sheetView>
  </sheetViews>
  <sheetFormatPr baseColWidth="10" defaultColWidth="8.83203125" defaultRowHeight="12" x14ac:dyDescent="0"/>
  <cols>
    <col min="1" max="1" width="2" style="12" customWidth="1"/>
    <col min="2" max="2" width="41.5" customWidth="1"/>
    <col min="3" max="3" width="12.83203125" style="6" customWidth="1"/>
    <col min="4" max="4" width="12.6640625" customWidth="1"/>
    <col min="5" max="7" width="12.6640625" style="6" customWidth="1"/>
    <col min="10" max="10" width="8.83203125" style="1"/>
  </cols>
  <sheetData>
    <row r="1" spans="1:15" s="12" customFormat="1" ht="16">
      <c r="C1" s="35"/>
      <c r="E1" s="35"/>
      <c r="F1" s="35"/>
      <c r="G1" s="35"/>
      <c r="J1" s="230" t="s">
        <v>59</v>
      </c>
      <c r="K1" s="231"/>
      <c r="L1" s="231"/>
      <c r="M1" s="231"/>
      <c r="N1" s="231"/>
      <c r="O1" s="231"/>
    </row>
    <row r="2" spans="1:15" ht="20" customHeight="1">
      <c r="B2" s="234" t="str">
        <f>'Financial Statements'!C2</f>
        <v>Altium Limited</v>
      </c>
      <c r="C2" s="235"/>
      <c r="D2" s="235"/>
      <c r="E2" s="235"/>
      <c r="F2" s="235"/>
      <c r="G2" s="235"/>
      <c r="H2" s="12"/>
      <c r="I2" s="12"/>
      <c r="J2" s="232" t="s">
        <v>70</v>
      </c>
      <c r="K2" s="228"/>
      <c r="L2" s="228"/>
      <c r="M2" s="228"/>
      <c r="N2" s="228"/>
      <c r="O2" s="228"/>
    </row>
    <row r="3" spans="1:15" ht="20" customHeight="1">
      <c r="B3" s="236" t="s">
        <v>83</v>
      </c>
      <c r="C3" s="231"/>
      <c r="D3" s="231"/>
      <c r="E3" s="231"/>
      <c r="F3" s="231"/>
      <c r="G3" s="231"/>
      <c r="H3" s="12"/>
      <c r="I3" s="12"/>
      <c r="J3" s="227"/>
      <c r="K3" s="228"/>
      <c r="L3" s="228"/>
      <c r="M3" s="228"/>
      <c r="N3" s="228"/>
      <c r="O3" s="228"/>
    </row>
    <row r="4" spans="1:15" ht="18" customHeight="1" thickBot="1">
      <c r="B4" s="237" t="str">
        <f>+'Financial Statements'!C4</f>
        <v>Years ended 30 June</v>
      </c>
      <c r="C4" s="238"/>
      <c r="D4" s="238"/>
      <c r="E4" s="238"/>
      <c r="F4" s="238"/>
      <c r="G4" s="238"/>
      <c r="H4" s="12"/>
      <c r="I4" s="12"/>
      <c r="J4" s="227"/>
      <c r="K4" s="228"/>
      <c r="L4" s="228"/>
      <c r="M4" s="228"/>
      <c r="N4" s="228"/>
      <c r="O4" s="228"/>
    </row>
    <row r="5" spans="1:15" ht="13">
      <c r="B5" s="10"/>
      <c r="C5" s="13"/>
      <c r="D5" s="13">
        <v>2019</v>
      </c>
      <c r="E5" s="13">
        <v>2018</v>
      </c>
      <c r="F5" s="13">
        <v>2017</v>
      </c>
      <c r="G5" s="13">
        <v>2016</v>
      </c>
      <c r="H5" s="12"/>
      <c r="I5" s="12"/>
      <c r="J5" s="227"/>
      <c r="K5" s="228"/>
      <c r="L5" s="228"/>
      <c r="M5" s="228"/>
      <c r="N5" s="228"/>
      <c r="O5" s="228"/>
    </row>
    <row r="6" spans="1:15" ht="13" thickBot="1">
      <c r="B6" s="10"/>
      <c r="C6" s="14"/>
      <c r="D6" s="14" t="str">
        <f t="shared" ref="D6:E6" si="0">+$G$6</f>
        <v>US$'000</v>
      </c>
      <c r="E6" s="14" t="str">
        <f t="shared" si="0"/>
        <v>US$'000</v>
      </c>
      <c r="F6" s="14" t="str">
        <f>+$G$6</f>
        <v>US$'000</v>
      </c>
      <c r="G6" s="14" t="str">
        <f>+'Financial Statements'!G6</f>
        <v>US$'000</v>
      </c>
      <c r="H6" s="12"/>
      <c r="I6" s="12"/>
      <c r="J6" s="227"/>
      <c r="K6" s="228"/>
      <c r="L6" s="228"/>
      <c r="M6" s="228"/>
      <c r="N6" s="228"/>
      <c r="O6" s="228"/>
    </row>
    <row r="7" spans="1:15">
      <c r="B7" s="10"/>
      <c r="C7" s="24"/>
      <c r="D7" s="24"/>
      <c r="E7" s="24"/>
      <c r="F7" s="24"/>
      <c r="G7" s="24"/>
      <c r="H7" s="12"/>
      <c r="I7" s="12"/>
      <c r="J7" s="227"/>
      <c r="K7" s="228"/>
      <c r="L7" s="228"/>
      <c r="M7" s="228"/>
      <c r="N7" s="228"/>
      <c r="O7" s="228"/>
    </row>
    <row r="8" spans="1:15" s="1" customFormat="1">
      <c r="A8" s="10"/>
      <c r="B8" s="146" t="s">
        <v>221</v>
      </c>
      <c r="C8" s="94"/>
      <c r="D8" s="95"/>
      <c r="E8" s="95"/>
      <c r="F8" s="95"/>
      <c r="G8" s="95"/>
      <c r="H8" s="10"/>
      <c r="I8" s="10"/>
      <c r="J8" s="227"/>
      <c r="K8" s="228"/>
      <c r="L8" s="228"/>
      <c r="M8" s="228"/>
      <c r="N8" s="228"/>
      <c r="O8" s="228"/>
    </row>
    <row r="9" spans="1:15">
      <c r="B9" s="96" t="str">
        <f>'Financial Statements'!C9</f>
        <v>Sales Revenue</v>
      </c>
      <c r="C9" s="23"/>
      <c r="D9" s="185">
        <f>'Financial Statements'!D9</f>
        <v>171819</v>
      </c>
      <c r="E9" s="185">
        <f>'Financial Statements'!E9</f>
        <v>140176</v>
      </c>
      <c r="F9" s="185">
        <f>'Financial Statements'!F9</f>
        <v>110865</v>
      </c>
      <c r="G9" s="185">
        <f>'Financial Statements'!G9</f>
        <v>93597</v>
      </c>
      <c r="H9" s="12"/>
      <c r="I9" s="12"/>
      <c r="J9" s="227"/>
      <c r="K9" s="228"/>
      <c r="L9" s="228"/>
      <c r="M9" s="228"/>
      <c r="N9" s="228"/>
      <c r="O9" s="228"/>
    </row>
    <row r="10" spans="1:15">
      <c r="B10" s="183" t="s">
        <v>222</v>
      </c>
      <c r="C10" s="94"/>
      <c r="D10" s="160">
        <f>D9</f>
        <v>171819</v>
      </c>
      <c r="E10" s="160">
        <f t="shared" ref="E10:G10" si="1">E9</f>
        <v>140176</v>
      </c>
      <c r="F10" s="160">
        <f t="shared" si="1"/>
        <v>110865</v>
      </c>
      <c r="G10" s="160">
        <f t="shared" si="1"/>
        <v>93597</v>
      </c>
      <c r="H10" s="12"/>
      <c r="I10" s="12"/>
      <c r="J10" s="227"/>
      <c r="K10" s="228"/>
      <c r="L10" s="228"/>
      <c r="M10" s="228"/>
      <c r="N10" s="228"/>
      <c r="O10" s="228"/>
    </row>
    <row r="11" spans="1:15">
      <c r="B11" s="10"/>
      <c r="C11" s="23"/>
      <c r="D11" s="34"/>
      <c r="E11" s="34"/>
      <c r="F11" s="34"/>
      <c r="G11" s="34"/>
      <c r="H11" s="12"/>
      <c r="I11" s="12"/>
      <c r="J11" s="227"/>
      <c r="K11" s="228"/>
      <c r="L11" s="228"/>
      <c r="M11" s="228"/>
      <c r="N11" s="228"/>
      <c r="O11" s="228"/>
    </row>
    <row r="12" spans="1:15">
      <c r="B12" s="146" t="s">
        <v>223</v>
      </c>
      <c r="C12" s="94"/>
      <c r="D12" s="95"/>
      <c r="E12" s="95"/>
      <c r="F12" s="95"/>
      <c r="G12" s="95"/>
      <c r="H12" s="12"/>
      <c r="I12" s="12"/>
      <c r="J12" s="227"/>
      <c r="K12" s="228"/>
      <c r="L12" s="228"/>
      <c r="M12" s="228"/>
      <c r="N12" s="228"/>
      <c r="O12" s="228"/>
    </row>
    <row r="13" spans="1:15">
      <c r="B13" s="90" t="str">
        <f>'Financial Statements'!C14</f>
        <v>Employee benefits expense</v>
      </c>
      <c r="C13" s="92"/>
      <c r="D13" s="91">
        <f>'Financial Statements'!D14</f>
        <v>-70581</v>
      </c>
      <c r="E13" s="91">
        <f>'Financial Statements'!E14</f>
        <v>-63437</v>
      </c>
      <c r="F13" s="91">
        <f>'Financial Statements'!F14</f>
        <v>-52343</v>
      </c>
      <c r="G13" s="91">
        <f>'Financial Statements'!G14</f>
        <v>-45244</v>
      </c>
      <c r="H13" s="12"/>
      <c r="I13" s="12"/>
      <c r="J13" s="227"/>
      <c r="K13" s="228"/>
      <c r="L13" s="228"/>
      <c r="M13" s="228"/>
      <c r="N13" s="228"/>
      <c r="O13" s="228"/>
    </row>
    <row r="14" spans="1:15">
      <c r="B14" s="93" t="str">
        <f>'Financial Statements'!C15</f>
        <v>Share based payments</v>
      </c>
      <c r="C14" s="94"/>
      <c r="D14" s="95">
        <f>'Financial Statements'!D15</f>
        <v>-6943</v>
      </c>
      <c r="E14" s="95">
        <f>'Financial Statements'!E15</f>
        <v>-2371</v>
      </c>
      <c r="F14" s="95">
        <f>'Financial Statements'!F15</f>
        <v>-2132</v>
      </c>
      <c r="G14" s="95">
        <f>'Financial Statements'!G15</f>
        <v>-1365</v>
      </c>
      <c r="H14" s="12"/>
      <c r="I14" s="12"/>
      <c r="J14" s="227"/>
      <c r="K14" s="228"/>
      <c r="L14" s="228"/>
      <c r="M14" s="228"/>
      <c r="N14" s="228"/>
      <c r="O14" s="228"/>
    </row>
    <row r="15" spans="1:15">
      <c r="B15" s="10" t="str">
        <f>'Financial Statements'!C16</f>
        <v>Drepreciation &amp; Amortisation expense</v>
      </c>
      <c r="C15" s="23"/>
      <c r="D15" s="34">
        <f>'Financial Statements'!D16</f>
        <v>-5842</v>
      </c>
      <c r="E15" s="34">
        <f>'Financial Statements'!E16</f>
        <v>-5296</v>
      </c>
      <c r="F15" s="34">
        <f>'Financial Statements'!F16</f>
        <v>-3785</v>
      </c>
      <c r="G15" s="34">
        <f>'Financial Statements'!G16</f>
        <v>-2741</v>
      </c>
      <c r="H15" s="12"/>
      <c r="I15" s="12"/>
      <c r="J15" s="227"/>
      <c r="K15" s="228"/>
      <c r="L15" s="228"/>
      <c r="M15" s="228"/>
      <c r="N15" s="228"/>
      <c r="O15" s="228"/>
    </row>
    <row r="16" spans="1:15">
      <c r="B16" s="93" t="str">
        <f>'Financial Statements'!C17</f>
        <v>Rental &amp; Occupancy expense</v>
      </c>
      <c r="C16" s="94"/>
      <c r="D16" s="95">
        <f>'Financial Statements'!D17</f>
        <v>-5095</v>
      </c>
      <c r="E16" s="95">
        <f>'Financial Statements'!E17</f>
        <v>-4254</v>
      </c>
      <c r="F16" s="95">
        <f>'Financial Statements'!F17</f>
        <v>-3822</v>
      </c>
      <c r="G16" s="95">
        <f>'Financial Statements'!G17</f>
        <v>-3773</v>
      </c>
      <c r="H16" s="12"/>
      <c r="I16" s="12"/>
      <c r="J16" s="227"/>
      <c r="K16" s="228"/>
      <c r="L16" s="228"/>
      <c r="M16" s="228"/>
      <c r="N16" s="228"/>
      <c r="O16" s="228"/>
    </row>
    <row r="17" spans="2:15">
      <c r="B17" s="7" t="str">
        <f>'Financial Statements'!C18</f>
        <v>Marketing expense</v>
      </c>
      <c r="C17" s="23"/>
      <c r="D17" s="34">
        <f>'Financial Statements'!D18</f>
        <v>-5038</v>
      </c>
      <c r="E17" s="34">
        <f>'Financial Statements'!E18</f>
        <v>-3516</v>
      </c>
      <c r="F17" s="34">
        <f>'Financial Statements'!F18</f>
        <v>-3096</v>
      </c>
      <c r="G17" s="34">
        <f>'Financial Statements'!G18</f>
        <v>-2532</v>
      </c>
      <c r="H17" s="12"/>
      <c r="I17" s="12"/>
      <c r="J17" s="227"/>
      <c r="K17" s="228"/>
      <c r="L17" s="228"/>
      <c r="M17" s="228"/>
      <c r="N17" s="228"/>
      <c r="O17" s="228"/>
    </row>
    <row r="18" spans="2:15">
      <c r="B18" s="93" t="str">
        <f>'Financial Statements'!C19</f>
        <v>Software and equipment expense</v>
      </c>
      <c r="C18" s="94"/>
      <c r="D18" s="95">
        <f>'Financial Statements'!D19</f>
        <v>-5026</v>
      </c>
      <c r="E18" s="95">
        <f>'Financial Statements'!E19</f>
        <v>-4333</v>
      </c>
      <c r="F18" s="95">
        <f>'Financial Statements'!F19</f>
        <v>-2565</v>
      </c>
      <c r="G18" s="95">
        <f>'Financial Statements'!G19</f>
        <v>-1762</v>
      </c>
      <c r="H18" s="12"/>
      <c r="I18" s="12"/>
      <c r="J18" s="227"/>
      <c r="K18" s="228"/>
      <c r="L18" s="228"/>
      <c r="M18" s="228"/>
      <c r="N18" s="228"/>
      <c r="O18" s="228"/>
    </row>
    <row r="19" spans="2:15">
      <c r="B19" s="10" t="str">
        <f>'Financial Statements'!C20</f>
        <v>Travel expense</v>
      </c>
      <c r="C19" s="23"/>
      <c r="D19" s="34">
        <f>'Financial Statements'!D20</f>
        <v>-4857</v>
      </c>
      <c r="E19" s="34">
        <f>'Financial Statements'!E20</f>
        <v>-4463</v>
      </c>
      <c r="F19" s="34">
        <f>'Financial Statements'!F20</f>
        <v>-4153</v>
      </c>
      <c r="G19" s="34">
        <f>'Financial Statements'!G20</f>
        <v>-3106</v>
      </c>
      <c r="H19" s="12"/>
      <c r="I19" s="12"/>
      <c r="J19" s="227"/>
      <c r="K19" s="228"/>
      <c r="L19" s="228"/>
      <c r="M19" s="228"/>
      <c r="N19" s="228"/>
      <c r="O19" s="228"/>
    </row>
    <row r="20" spans="2:15">
      <c r="B20" s="93" t="str">
        <f>'Financial Statements'!C21</f>
        <v>Communication expense</v>
      </c>
      <c r="C20" s="94"/>
      <c r="D20" s="95">
        <f>'Financial Statements'!D21</f>
        <v>-3511</v>
      </c>
      <c r="E20" s="95">
        <f>'Financial Statements'!E21</f>
        <v>-2679</v>
      </c>
      <c r="F20" s="95">
        <f>'Financial Statements'!F21</f>
        <v>-1892</v>
      </c>
      <c r="G20" s="95">
        <f>'Financial Statements'!G21</f>
        <v>-945</v>
      </c>
      <c r="H20" s="12"/>
      <c r="I20" s="12"/>
      <c r="J20" s="227"/>
      <c r="K20" s="228"/>
      <c r="L20" s="228"/>
      <c r="M20" s="228"/>
      <c r="N20" s="228"/>
      <c r="O20" s="228"/>
    </row>
    <row r="21" spans="2:15">
      <c r="B21" s="90" t="str">
        <f>'Financial Statements'!C22</f>
        <v>Professional advice expense</v>
      </c>
      <c r="C21" s="92"/>
      <c r="D21" s="91">
        <f>'Financial Statements'!D22</f>
        <v>-3350</v>
      </c>
      <c r="E21" s="91">
        <f>'Financial Statements'!E22</f>
        <v>-2770</v>
      </c>
      <c r="F21" s="91">
        <f>'Financial Statements'!F22</f>
        <v>-2214</v>
      </c>
      <c r="G21" s="91">
        <f>'Financial Statements'!G22</f>
        <v>-3298</v>
      </c>
      <c r="H21" s="12"/>
      <c r="I21" s="12"/>
      <c r="J21" s="227"/>
      <c r="K21" s="228"/>
      <c r="L21" s="228"/>
      <c r="M21" s="228"/>
      <c r="N21" s="228"/>
      <c r="O21" s="228"/>
    </row>
    <row r="22" spans="2:15">
      <c r="B22" s="93" t="str">
        <f>'Financial Statements'!C23</f>
        <v xml:space="preserve">Re-measurement of contingent consideration </v>
      </c>
      <c r="C22" s="94"/>
      <c r="D22" s="95">
        <f>'Financial Statements'!D23</f>
        <v>55</v>
      </c>
      <c r="E22" s="95">
        <f>'Financial Statements'!E23</f>
        <v>-4387</v>
      </c>
      <c r="F22" s="95">
        <f>'Financial Statements'!F23</f>
        <v>-433</v>
      </c>
      <c r="G22" s="95">
        <f>'Financial Statements'!G23</f>
        <v>0</v>
      </c>
      <c r="H22" s="12"/>
      <c r="I22" s="12"/>
      <c r="J22" s="227"/>
      <c r="K22" s="228"/>
      <c r="L22" s="228"/>
      <c r="M22" s="228"/>
      <c r="N22" s="228"/>
      <c r="O22" s="228"/>
    </row>
    <row r="23" spans="2:15">
      <c r="B23" s="10" t="str">
        <f>'Financial Statements'!C26</f>
        <v>Restructuring costs</v>
      </c>
      <c r="C23" s="23"/>
      <c r="D23" s="34">
        <f>'Financial Statements'!D26</f>
        <v>0</v>
      </c>
      <c r="E23" s="34">
        <f>'Financial Statements'!E26</f>
        <v>0</v>
      </c>
      <c r="F23" s="34">
        <f>'Financial Statements'!F26</f>
        <v>-1952</v>
      </c>
      <c r="G23" s="34">
        <f>'Financial Statements'!G26</f>
        <v>0</v>
      </c>
      <c r="H23" s="12"/>
      <c r="I23" s="12"/>
      <c r="J23" s="227"/>
      <c r="K23" s="233"/>
      <c r="L23" s="233"/>
      <c r="M23" s="233"/>
      <c r="N23" s="233"/>
      <c r="O23" s="233"/>
    </row>
    <row r="24" spans="2:15">
      <c r="B24" s="93" t="str">
        <f>'Financial Statements'!C27</f>
        <v>Net foreign exchange gain/(loss)</v>
      </c>
      <c r="C24" s="94"/>
      <c r="D24" s="95">
        <f>'Financial Statements'!D27</f>
        <v>119</v>
      </c>
      <c r="E24" s="95">
        <f>'Financial Statements'!E27</f>
        <v>335</v>
      </c>
      <c r="F24" s="95">
        <f>'Financial Statements'!F27</f>
        <v>-30</v>
      </c>
      <c r="G24" s="95">
        <f>'Financial Statements'!G27</f>
        <v>83</v>
      </c>
      <c r="H24" s="12"/>
      <c r="I24" s="12"/>
      <c r="J24" s="227"/>
      <c r="K24" s="233"/>
      <c r="L24" s="233"/>
      <c r="M24" s="233"/>
      <c r="N24" s="233"/>
      <c r="O24" s="233"/>
    </row>
    <row r="25" spans="2:15">
      <c r="B25" s="96" t="str">
        <f>'Financial Statements'!C28</f>
        <v xml:space="preserve">Other expenses </v>
      </c>
      <c r="C25" s="23"/>
      <c r="D25" s="186">
        <f>'Financial Statements'!D28</f>
        <v>-4871</v>
      </c>
      <c r="E25" s="186">
        <f>'Financial Statements'!E28</f>
        <v>-3432</v>
      </c>
      <c r="F25" s="186">
        <f>'Financial Statements'!F28</f>
        <v>-2979</v>
      </c>
      <c r="G25" s="186">
        <f>'Financial Statements'!G28</f>
        <v>-4226</v>
      </c>
      <c r="H25" s="12"/>
      <c r="I25" s="12"/>
      <c r="J25" s="227"/>
      <c r="K25" s="233"/>
      <c r="L25" s="233"/>
      <c r="M25" s="233"/>
      <c r="N25" s="233"/>
      <c r="O25" s="233"/>
    </row>
    <row r="26" spans="2:15">
      <c r="B26" s="183" t="s">
        <v>224</v>
      </c>
      <c r="C26" s="94"/>
      <c r="D26" s="160">
        <f>SUM(D13:D25)</f>
        <v>-114940</v>
      </c>
      <c r="E26" s="160">
        <f t="shared" ref="E26:G26" si="2">SUM(E13:E25)</f>
        <v>-100603</v>
      </c>
      <c r="F26" s="160">
        <f t="shared" si="2"/>
        <v>-81396</v>
      </c>
      <c r="G26" s="160">
        <f t="shared" si="2"/>
        <v>-68909</v>
      </c>
      <c r="H26" s="12"/>
      <c r="I26" s="12"/>
      <c r="J26" s="227"/>
      <c r="K26" s="233"/>
      <c r="L26" s="233"/>
      <c r="M26" s="233"/>
      <c r="N26" s="233"/>
      <c r="O26" s="233"/>
    </row>
    <row r="27" spans="2:15">
      <c r="B27" s="10"/>
      <c r="C27" s="23"/>
      <c r="D27" s="34"/>
      <c r="E27" s="34"/>
      <c r="F27" s="34"/>
      <c r="G27" s="34"/>
      <c r="H27" s="12"/>
      <c r="I27" s="12"/>
      <c r="J27" s="227"/>
      <c r="K27" s="233"/>
      <c r="L27" s="233"/>
      <c r="M27" s="233"/>
      <c r="N27" s="233"/>
      <c r="O27" s="233"/>
    </row>
    <row r="28" spans="2:15">
      <c r="B28" s="183" t="s">
        <v>225</v>
      </c>
      <c r="C28" s="157"/>
      <c r="D28" s="171">
        <f>D10+D26</f>
        <v>56879</v>
      </c>
      <c r="E28" s="171">
        <f t="shared" ref="E28:G28" si="3">E10+E26</f>
        <v>39573</v>
      </c>
      <c r="F28" s="171">
        <f t="shared" si="3"/>
        <v>29469</v>
      </c>
      <c r="G28" s="171">
        <f t="shared" si="3"/>
        <v>24688</v>
      </c>
      <c r="H28" s="12"/>
      <c r="I28" s="12"/>
      <c r="J28" s="227"/>
      <c r="K28" s="233"/>
      <c r="L28" s="233"/>
      <c r="M28" s="233"/>
      <c r="N28" s="233"/>
      <c r="O28" s="233"/>
    </row>
    <row r="29" spans="2:15">
      <c r="B29" s="90"/>
      <c r="C29" s="92"/>
      <c r="D29" s="91"/>
      <c r="E29" s="91"/>
      <c r="F29" s="91"/>
      <c r="G29" s="91"/>
      <c r="H29" s="12"/>
      <c r="I29" s="12"/>
      <c r="J29" s="227"/>
      <c r="K29" s="233"/>
      <c r="L29" s="233"/>
      <c r="M29" s="233"/>
      <c r="N29" s="233"/>
      <c r="O29" s="233"/>
    </row>
    <row r="30" spans="2:15">
      <c r="B30" s="146" t="s">
        <v>226</v>
      </c>
      <c r="C30" s="94"/>
      <c r="D30" s="95"/>
      <c r="E30" s="95"/>
      <c r="F30" s="95"/>
      <c r="G30" s="95"/>
      <c r="H30" s="12"/>
      <c r="I30" s="12"/>
      <c r="J30" s="227"/>
      <c r="K30" s="233"/>
      <c r="L30" s="233"/>
      <c r="M30" s="233"/>
      <c r="N30" s="233"/>
      <c r="O30" s="233"/>
    </row>
    <row r="31" spans="2:15">
      <c r="B31" s="10" t="s">
        <v>227</v>
      </c>
      <c r="C31" s="23"/>
      <c r="D31" s="34">
        <f>'Financial Statements'!D32</f>
        <v>-4719</v>
      </c>
      <c r="E31" s="34">
        <f>'Financial Statements'!E32</f>
        <v>-2214</v>
      </c>
      <c r="F31" s="34">
        <f>'Financial Statements'!F32</f>
        <v>-1395</v>
      </c>
      <c r="G31" s="34">
        <f>'Financial Statements'!G32</f>
        <v>-1590</v>
      </c>
      <c r="H31" s="12"/>
      <c r="I31" s="12"/>
      <c r="J31" s="227"/>
      <c r="K31" s="233"/>
      <c r="L31" s="233"/>
      <c r="M31" s="233"/>
      <c r="N31" s="233"/>
      <c r="O31" s="233"/>
    </row>
    <row r="32" spans="2:15">
      <c r="B32" s="93" t="s">
        <v>228</v>
      </c>
      <c r="C32" s="94"/>
      <c r="D32" s="180">
        <f>-D47</f>
        <v>219.9</v>
      </c>
      <c r="E32" s="180">
        <f t="shared" ref="E32:G32" si="4">-E47</f>
        <v>39</v>
      </c>
      <c r="F32" s="180">
        <f t="shared" si="4"/>
        <v>0.89999999999999991</v>
      </c>
      <c r="G32" s="180">
        <f t="shared" si="4"/>
        <v>-23.4</v>
      </c>
      <c r="H32" s="12"/>
      <c r="I32" s="12"/>
      <c r="J32" s="227"/>
      <c r="K32" s="233"/>
      <c r="L32" s="233"/>
      <c r="M32" s="233"/>
      <c r="N32" s="233"/>
      <c r="O32" s="233"/>
    </row>
    <row r="33" spans="2:15">
      <c r="B33" s="187" t="s">
        <v>229</v>
      </c>
      <c r="C33" s="23"/>
      <c r="D33" s="184">
        <f>SUM(D31:D32)</f>
        <v>-4499.1000000000004</v>
      </c>
      <c r="E33" s="184">
        <f t="shared" ref="E33:G33" si="5">SUM(E31:E32)</f>
        <v>-2175</v>
      </c>
      <c r="F33" s="184">
        <f t="shared" si="5"/>
        <v>-1394.1</v>
      </c>
      <c r="G33" s="184">
        <f t="shared" si="5"/>
        <v>-1613.4</v>
      </c>
      <c r="H33" s="12"/>
      <c r="I33" s="12"/>
      <c r="J33" s="227"/>
      <c r="K33" s="233"/>
      <c r="L33" s="233"/>
      <c r="M33" s="233"/>
      <c r="N33" s="233"/>
      <c r="O33" s="233"/>
    </row>
    <row r="34" spans="2:15">
      <c r="B34" s="93"/>
      <c r="C34" s="94"/>
      <c r="D34" s="95" t="s">
        <v>16</v>
      </c>
      <c r="E34" s="95" t="s">
        <v>16</v>
      </c>
      <c r="F34" s="95"/>
      <c r="G34" s="95"/>
      <c r="H34" s="12"/>
      <c r="I34" s="12"/>
      <c r="J34" s="227"/>
      <c r="K34" s="233"/>
      <c r="L34" s="233"/>
      <c r="M34" s="233"/>
      <c r="N34" s="233"/>
      <c r="O34" s="233"/>
    </row>
    <row r="35" spans="2:15">
      <c r="B35" s="176" t="s">
        <v>230</v>
      </c>
      <c r="C35" s="92"/>
      <c r="D35" s="91"/>
      <c r="E35" s="91"/>
      <c r="F35" s="91"/>
      <c r="G35" s="91"/>
      <c r="H35" s="12"/>
      <c r="I35" s="12"/>
      <c r="J35" s="227"/>
      <c r="K35" s="233"/>
      <c r="L35" s="233"/>
      <c r="M35" s="233"/>
      <c r="N35" s="233"/>
      <c r="O35" s="233"/>
    </row>
    <row r="36" spans="2:15">
      <c r="B36" s="93" t="str">
        <f>'Financial Statements'!C37</f>
        <v>Exchange differennces on translation of foreign operations</v>
      </c>
      <c r="C36" s="94"/>
      <c r="D36" s="180">
        <f>'Financial Statements'!D37</f>
        <v>-349</v>
      </c>
      <c r="E36" s="180">
        <f>'Financial Statements'!E37</f>
        <v>-1136</v>
      </c>
      <c r="F36" s="180">
        <f>'Financial Statements'!F37</f>
        <v>-251</v>
      </c>
      <c r="G36" s="180">
        <f>'Financial Statements'!G37</f>
        <v>-278</v>
      </c>
      <c r="H36" s="12"/>
      <c r="I36" s="12"/>
      <c r="J36" s="227"/>
      <c r="K36" s="233"/>
      <c r="L36" s="233"/>
      <c r="M36" s="233"/>
      <c r="N36" s="233"/>
      <c r="O36" s="233"/>
    </row>
    <row r="37" spans="2:15">
      <c r="B37" s="189" t="s">
        <v>231</v>
      </c>
      <c r="C37" s="92"/>
      <c r="D37" s="178">
        <f>D36</f>
        <v>-349</v>
      </c>
      <c r="E37" s="178">
        <f t="shared" ref="E37:G37" si="6">E36</f>
        <v>-1136</v>
      </c>
      <c r="F37" s="178">
        <f t="shared" si="6"/>
        <v>-251</v>
      </c>
      <c r="G37" s="178">
        <f t="shared" si="6"/>
        <v>-278</v>
      </c>
      <c r="H37" s="12"/>
      <c r="I37" s="12"/>
      <c r="J37" s="227"/>
      <c r="K37" s="233"/>
      <c r="L37" s="233"/>
      <c r="M37" s="233"/>
      <c r="N37" s="233"/>
      <c r="O37" s="233"/>
    </row>
    <row r="38" spans="2:15">
      <c r="B38" s="93"/>
      <c r="C38" s="94"/>
      <c r="D38" s="95"/>
      <c r="E38" s="95"/>
      <c r="F38" s="95"/>
      <c r="G38" s="95"/>
      <c r="H38" s="12"/>
      <c r="I38" s="12"/>
      <c r="J38" s="227"/>
      <c r="K38" s="233"/>
      <c r="L38" s="233"/>
      <c r="M38" s="233"/>
      <c r="N38" s="233"/>
      <c r="O38" s="233"/>
    </row>
    <row r="39" spans="2:15">
      <c r="B39" s="189" t="s">
        <v>232</v>
      </c>
      <c r="C39" s="177"/>
      <c r="D39" s="188">
        <f>D28+D33+D37</f>
        <v>52030.9</v>
      </c>
      <c r="E39" s="188">
        <f t="shared" ref="E39:F39" si="7">E28+E33+E37</f>
        <v>36262</v>
      </c>
      <c r="F39" s="188">
        <f t="shared" si="7"/>
        <v>27823.9</v>
      </c>
      <c r="G39" s="188">
        <f>G28+G33+G37</f>
        <v>22796.6</v>
      </c>
      <c r="H39" s="12"/>
      <c r="I39" s="12"/>
      <c r="J39" s="227"/>
      <c r="K39" s="233"/>
      <c r="L39" s="233"/>
      <c r="M39" s="233"/>
      <c r="N39" s="233"/>
      <c r="O39" s="233"/>
    </row>
    <row r="40" spans="2:15">
      <c r="B40" s="93"/>
      <c r="C40" s="94"/>
      <c r="D40" s="95"/>
      <c r="E40" s="95"/>
      <c r="F40" s="95"/>
      <c r="G40" s="95"/>
      <c r="H40" s="12"/>
      <c r="I40" s="12"/>
      <c r="J40" s="227"/>
      <c r="K40" s="233"/>
      <c r="L40" s="233"/>
      <c r="M40" s="233"/>
      <c r="N40" s="233"/>
      <c r="O40" s="233"/>
    </row>
    <row r="41" spans="2:15">
      <c r="B41" s="176" t="s">
        <v>238</v>
      </c>
      <c r="C41" s="92"/>
      <c r="D41" s="91"/>
      <c r="E41" s="91"/>
      <c r="F41" s="91"/>
      <c r="G41" s="91"/>
      <c r="H41" s="12"/>
      <c r="I41" s="12"/>
      <c r="J41" s="227"/>
      <c r="K41" s="233"/>
      <c r="L41" s="233"/>
      <c r="M41" s="233"/>
      <c r="N41" s="233"/>
      <c r="O41" s="233"/>
    </row>
    <row r="42" spans="2:15">
      <c r="B42" s="93" t="str">
        <f>'Financial Statements'!C24</f>
        <v>Finance costs - Interest &amp; finance charges paid/payable</v>
      </c>
      <c r="C42" s="94"/>
      <c r="D42" s="95">
        <f>'Financial Statements'!D24</f>
        <v>-1</v>
      </c>
      <c r="E42" s="95">
        <f>'Financial Statements'!E24</f>
        <v>-2</v>
      </c>
      <c r="F42" s="95">
        <f>'Financial Statements'!F24</f>
        <v>-4</v>
      </c>
      <c r="G42" s="95">
        <f>'Financial Statements'!G24</f>
        <v>-35</v>
      </c>
      <c r="H42" s="12"/>
      <c r="I42" s="12"/>
      <c r="J42" s="227"/>
      <c r="K42" s="233"/>
      <c r="L42" s="233"/>
      <c r="M42" s="233"/>
      <c r="N42" s="233"/>
      <c r="O42" s="233"/>
    </row>
    <row r="43" spans="2:15">
      <c r="B43" s="145" t="str">
        <f>'Financial Statements'!C25</f>
        <v>Finance costs - Unwinding of the discount on provisions</v>
      </c>
      <c r="C43" s="92"/>
      <c r="D43" s="91">
        <f>'Financial Statements'!D25</f>
        <v>-199</v>
      </c>
      <c r="E43" s="91">
        <f>'Financial Statements'!E25</f>
        <v>-60</v>
      </c>
      <c r="F43" s="91">
        <f>'Financial Statements'!F25</f>
        <v>-85</v>
      </c>
      <c r="G43" s="91">
        <f>'Financial Statements'!G25</f>
        <v>-145</v>
      </c>
      <c r="H43" s="12"/>
      <c r="I43" s="12"/>
      <c r="J43" s="227"/>
      <c r="K43" s="233"/>
      <c r="L43" s="233"/>
      <c r="M43" s="233"/>
      <c r="N43" s="233"/>
      <c r="O43" s="233"/>
    </row>
    <row r="44" spans="2:15">
      <c r="B44" s="93" t="str">
        <f>'Financial Statements'!C10</f>
        <v>Interest Income</v>
      </c>
      <c r="C44" s="94"/>
      <c r="D44" s="180">
        <f>'Financial Statements'!D10</f>
        <v>933</v>
      </c>
      <c r="E44" s="180">
        <f>'Financial Statements'!E10</f>
        <v>192</v>
      </c>
      <c r="F44" s="180">
        <f>'Financial Statements'!F10</f>
        <v>92</v>
      </c>
      <c r="G44" s="180">
        <f>'Financial Statements'!G10</f>
        <v>102</v>
      </c>
      <c r="H44" s="12"/>
      <c r="I44" s="12"/>
      <c r="J44" s="227"/>
      <c r="K44" s="233"/>
      <c r="L44" s="233"/>
      <c r="M44" s="233"/>
      <c r="N44" s="233"/>
      <c r="O44" s="233"/>
    </row>
    <row r="45" spans="2:15">
      <c r="B45" s="189" t="s">
        <v>239</v>
      </c>
      <c r="C45" s="92"/>
      <c r="D45" s="178">
        <f>SUM(D42:D44)</f>
        <v>733</v>
      </c>
      <c r="E45" s="178">
        <f t="shared" ref="E45:G45" si="8">SUM(E42:E44)</f>
        <v>130</v>
      </c>
      <c r="F45" s="178">
        <f t="shared" si="8"/>
        <v>3</v>
      </c>
      <c r="G45" s="178">
        <f t="shared" si="8"/>
        <v>-78</v>
      </c>
      <c r="H45" s="12"/>
      <c r="I45" s="12"/>
      <c r="J45" s="227"/>
      <c r="K45" s="233"/>
      <c r="L45" s="233"/>
      <c r="M45" s="233"/>
      <c r="N45" s="233"/>
      <c r="O45" s="233"/>
    </row>
    <row r="46" spans="2:15">
      <c r="B46" s="93"/>
      <c r="C46" s="94"/>
      <c r="D46" s="95"/>
      <c r="E46" s="95"/>
      <c r="F46" s="95"/>
      <c r="G46" s="95"/>
      <c r="H46" s="12"/>
      <c r="I46" s="12"/>
      <c r="J46" s="227"/>
      <c r="K46" s="233"/>
      <c r="L46" s="233"/>
      <c r="M46" s="233"/>
      <c r="N46" s="233"/>
      <c r="O46" s="233"/>
    </row>
    <row r="47" spans="2:15">
      <c r="B47" s="108" t="s">
        <v>228</v>
      </c>
      <c r="C47" s="109"/>
      <c r="D47" s="175">
        <f>-D45*D110</f>
        <v>-219.9</v>
      </c>
      <c r="E47" s="175">
        <f t="shared" ref="E47:G47" si="9">-E45*E110</f>
        <v>-39</v>
      </c>
      <c r="F47" s="175">
        <f t="shared" si="9"/>
        <v>-0.89999999999999991</v>
      </c>
      <c r="G47" s="175">
        <f t="shared" si="9"/>
        <v>23.4</v>
      </c>
      <c r="H47" s="12"/>
      <c r="I47" s="12"/>
      <c r="J47" s="227"/>
      <c r="K47" s="233"/>
      <c r="L47" s="233"/>
      <c r="M47" s="233"/>
      <c r="N47" s="233"/>
      <c r="O47" s="233"/>
    </row>
    <row r="48" spans="2:15">
      <c r="B48" s="183" t="s">
        <v>233</v>
      </c>
      <c r="C48" s="157"/>
      <c r="D48" s="160">
        <f>SUM(D45:D47)</f>
        <v>513.1</v>
      </c>
      <c r="E48" s="160">
        <f t="shared" ref="E48:G48" si="10">SUM(E45:E47)</f>
        <v>91</v>
      </c>
      <c r="F48" s="160">
        <f t="shared" si="10"/>
        <v>2.1</v>
      </c>
      <c r="G48" s="160">
        <f t="shared" si="10"/>
        <v>-54.6</v>
      </c>
      <c r="H48" s="12"/>
      <c r="I48" s="12"/>
      <c r="J48" s="227"/>
      <c r="K48" s="233"/>
      <c r="L48" s="233"/>
      <c r="M48" s="233"/>
      <c r="N48" s="233"/>
      <c r="O48" s="233"/>
    </row>
    <row r="49" spans="2:15">
      <c r="B49" s="108"/>
      <c r="C49" s="109"/>
      <c r="D49" s="148"/>
      <c r="E49" s="148"/>
      <c r="F49" s="148"/>
      <c r="G49" s="148"/>
      <c r="H49" s="12"/>
      <c r="I49" s="12"/>
      <c r="J49" s="227"/>
      <c r="K49" s="233"/>
      <c r="L49" s="233"/>
      <c r="M49" s="233"/>
      <c r="N49" s="233"/>
      <c r="O49" s="233"/>
    </row>
    <row r="50" spans="2:15">
      <c r="B50" s="93" t="s">
        <v>234</v>
      </c>
      <c r="C50" s="94"/>
      <c r="D50" s="180">
        <v>0</v>
      </c>
      <c r="E50" s="180">
        <v>0</v>
      </c>
      <c r="F50" s="180">
        <v>0</v>
      </c>
      <c r="G50" s="180">
        <v>0</v>
      </c>
      <c r="H50" s="12"/>
      <c r="I50" s="12"/>
      <c r="J50" s="227"/>
      <c r="K50" s="233"/>
      <c r="L50" s="233"/>
      <c r="M50" s="233"/>
      <c r="N50" s="233"/>
      <c r="O50" s="233"/>
    </row>
    <row r="51" spans="2:15">
      <c r="B51" s="192" t="s">
        <v>235</v>
      </c>
      <c r="C51" s="109"/>
      <c r="D51" s="200">
        <f>SUM(D50)</f>
        <v>0</v>
      </c>
      <c r="E51" s="200">
        <f t="shared" ref="E51:G51" si="11">SUM(E50)</f>
        <v>0</v>
      </c>
      <c r="F51" s="200">
        <f t="shared" si="11"/>
        <v>0</v>
      </c>
      <c r="G51" s="200">
        <f t="shared" si="11"/>
        <v>0</v>
      </c>
      <c r="H51" s="12"/>
      <c r="I51" s="12"/>
      <c r="J51" s="227"/>
      <c r="K51" s="233"/>
      <c r="L51" s="233"/>
      <c r="M51" s="233"/>
      <c r="N51" s="233"/>
      <c r="O51" s="233"/>
    </row>
    <row r="52" spans="2:15">
      <c r="B52" s="93"/>
      <c r="C52" s="94"/>
      <c r="D52" s="95"/>
      <c r="E52" s="95"/>
      <c r="F52" s="95"/>
      <c r="G52" s="95"/>
      <c r="H52" s="12"/>
      <c r="I52" s="12"/>
      <c r="J52" s="227"/>
      <c r="K52" s="233"/>
      <c r="L52" s="233"/>
      <c r="M52" s="233"/>
      <c r="N52" s="233"/>
      <c r="O52" s="233"/>
    </row>
    <row r="53" spans="2:15">
      <c r="B53" s="108" t="s">
        <v>236</v>
      </c>
      <c r="C53" s="109"/>
      <c r="D53" s="148">
        <f>D48+D51</f>
        <v>513.1</v>
      </c>
      <c r="E53" s="148">
        <f t="shared" ref="E53:G53" si="12">E48+E51</f>
        <v>91</v>
      </c>
      <c r="F53" s="148">
        <f t="shared" si="12"/>
        <v>2.1</v>
      </c>
      <c r="G53" s="148">
        <f t="shared" si="12"/>
        <v>-54.6</v>
      </c>
      <c r="H53" s="12"/>
      <c r="I53" s="12"/>
      <c r="J53" s="227"/>
      <c r="K53" s="233"/>
      <c r="L53" s="233"/>
      <c r="M53" s="233"/>
      <c r="N53" s="233"/>
      <c r="O53" s="233"/>
    </row>
    <row r="54" spans="2:15" ht="13" thickBot="1">
      <c r="B54" s="183" t="s">
        <v>237</v>
      </c>
      <c r="C54" s="94"/>
      <c r="D54" s="201">
        <f>D39+D48+D51</f>
        <v>52544</v>
      </c>
      <c r="E54" s="201">
        <f>E39+E48+E51</f>
        <v>36353</v>
      </c>
      <c r="F54" s="201">
        <f>F39+F48+F51</f>
        <v>27826</v>
      </c>
      <c r="G54" s="201">
        <f>G39+G48+G51</f>
        <v>22742</v>
      </c>
      <c r="H54" s="12"/>
      <c r="I54" s="12"/>
      <c r="J54" s="227"/>
      <c r="K54" s="233"/>
      <c r="L54" s="233"/>
      <c r="M54" s="233"/>
      <c r="N54" s="233"/>
      <c r="O54" s="233"/>
    </row>
    <row r="55" spans="2:15" ht="13" thickTop="1">
      <c r="B55" s="108"/>
      <c r="C55" s="109"/>
      <c r="D55" s="148"/>
      <c r="E55" s="148"/>
      <c r="F55" s="148"/>
      <c r="G55" s="148"/>
      <c r="H55" s="12"/>
      <c r="I55" s="12"/>
      <c r="J55" s="227"/>
      <c r="K55" s="233"/>
      <c r="L55" s="233"/>
      <c r="M55" s="233"/>
      <c r="N55" s="233"/>
      <c r="O55" s="233"/>
    </row>
    <row r="56" spans="2:15" s="12" customFormat="1" ht="16">
      <c r="C56" s="35"/>
      <c r="E56" s="35"/>
      <c r="F56" s="35"/>
      <c r="G56" s="35"/>
      <c r="J56" s="230" t="s">
        <v>65</v>
      </c>
      <c r="K56" s="231"/>
      <c r="L56" s="231"/>
      <c r="M56" s="231"/>
      <c r="N56" s="231"/>
      <c r="O56" s="231"/>
    </row>
    <row r="57" spans="2:15" ht="20" customHeight="1">
      <c r="B57" s="234" t="str">
        <f>'Financial Statements'!C2</f>
        <v>Altium Limited</v>
      </c>
      <c r="C57" s="241"/>
      <c r="D57" s="241"/>
      <c r="E57" s="241"/>
      <c r="F57" s="241"/>
      <c r="G57" s="235"/>
      <c r="H57" s="12"/>
      <c r="I57" s="12"/>
      <c r="J57" s="242" t="s">
        <v>73</v>
      </c>
      <c r="K57" s="243"/>
      <c r="L57" s="243"/>
      <c r="M57" s="243"/>
      <c r="N57" s="243"/>
      <c r="O57" s="243"/>
    </row>
    <row r="58" spans="2:15" ht="20" customHeight="1">
      <c r="B58" s="236" t="s">
        <v>84</v>
      </c>
      <c r="C58" s="245"/>
      <c r="D58" s="245"/>
      <c r="E58" s="245"/>
      <c r="F58" s="245"/>
      <c r="G58" s="231"/>
      <c r="H58" s="12"/>
      <c r="I58" s="12"/>
      <c r="J58" s="244"/>
      <c r="K58" s="243"/>
      <c r="L58" s="243"/>
      <c r="M58" s="243"/>
      <c r="N58" s="243"/>
      <c r="O58" s="243"/>
    </row>
    <row r="59" spans="2:15" ht="18" customHeight="1" thickBot="1">
      <c r="B59" s="237" t="str">
        <f>+'Financial Statements'!C47</f>
        <v>as at 30 June</v>
      </c>
      <c r="C59" s="246"/>
      <c r="D59" s="246"/>
      <c r="E59" s="246"/>
      <c r="F59" s="246"/>
      <c r="G59" s="238"/>
      <c r="H59" s="12"/>
      <c r="I59" s="12"/>
      <c r="J59" s="244"/>
      <c r="K59" s="243"/>
      <c r="L59" s="243"/>
      <c r="M59" s="243"/>
      <c r="N59" s="243"/>
      <c r="O59" s="243"/>
    </row>
    <row r="60" spans="2:15" ht="15" customHeight="1">
      <c r="B60" s="10"/>
      <c r="C60" s="13"/>
      <c r="D60" s="13">
        <f>+D5</f>
        <v>2019</v>
      </c>
      <c r="E60" s="13">
        <f>+E5</f>
        <v>2018</v>
      </c>
      <c r="F60" s="13">
        <f>+F5</f>
        <v>2017</v>
      </c>
      <c r="G60" s="13">
        <f>+G5</f>
        <v>2016</v>
      </c>
      <c r="H60" s="12"/>
      <c r="I60" s="12"/>
      <c r="J60" s="244"/>
      <c r="K60" s="243"/>
      <c r="L60" s="243"/>
      <c r="M60" s="243"/>
      <c r="N60" s="243"/>
      <c r="O60" s="243"/>
    </row>
    <row r="61" spans="2:15" ht="15.75" customHeight="1" thickBot="1">
      <c r="B61" s="10"/>
      <c r="C61" s="14"/>
      <c r="D61" s="14" t="str">
        <f t="shared" ref="D61:F61" si="13">+$G$6</f>
        <v>US$'000</v>
      </c>
      <c r="E61" s="14" t="str">
        <f t="shared" si="13"/>
        <v>US$'000</v>
      </c>
      <c r="F61" s="14" t="str">
        <f t="shared" si="13"/>
        <v>US$'000</v>
      </c>
      <c r="G61" s="14" t="str">
        <f>+$G$6</f>
        <v>US$'000</v>
      </c>
      <c r="H61" s="12"/>
      <c r="I61" s="12"/>
      <c r="J61" s="244"/>
      <c r="K61" s="243"/>
      <c r="L61" s="243"/>
      <c r="M61" s="243"/>
      <c r="N61" s="243"/>
      <c r="O61" s="243"/>
    </row>
    <row r="62" spans="2:15" ht="12" customHeight="1">
      <c r="B62" s="10"/>
      <c r="C62" s="24"/>
      <c r="D62" s="24"/>
      <c r="E62" s="24"/>
      <c r="F62" s="24"/>
      <c r="G62" s="24"/>
      <c r="H62" s="12"/>
      <c r="I62" s="12"/>
      <c r="J62" s="244"/>
      <c r="K62" s="243"/>
      <c r="L62" s="243"/>
      <c r="M62" s="243"/>
      <c r="N62" s="243"/>
      <c r="O62" s="243"/>
    </row>
    <row r="63" spans="2:15" ht="15" customHeight="1">
      <c r="B63" s="146" t="s">
        <v>240</v>
      </c>
      <c r="C63" s="94"/>
      <c r="D63" s="95" t="s">
        <v>16</v>
      </c>
      <c r="E63" s="95" t="s">
        <v>16</v>
      </c>
      <c r="F63" s="95"/>
      <c r="G63" s="95"/>
      <c r="H63" s="12"/>
      <c r="I63" s="12"/>
      <c r="J63" s="244"/>
      <c r="K63" s="243"/>
      <c r="L63" s="243"/>
      <c r="M63" s="243"/>
      <c r="N63" s="243"/>
      <c r="O63" s="243"/>
    </row>
    <row r="64" spans="2:15" ht="15" customHeight="1">
      <c r="B64" s="7" t="str">
        <f>'Financial Statements'!C53</f>
        <v>Cash and cash equivalents</v>
      </c>
      <c r="C64" s="23"/>
      <c r="D64" s="34">
        <f>D124</f>
        <v>1727.52</v>
      </c>
      <c r="E64" s="34">
        <f t="shared" ref="E64:G64" si="14">E124</f>
        <v>1403.68</v>
      </c>
      <c r="F64" s="34">
        <f t="shared" si="14"/>
        <v>1109.57</v>
      </c>
      <c r="G64" s="34">
        <f t="shared" si="14"/>
        <v>936.99</v>
      </c>
      <c r="H64" s="12"/>
      <c r="I64" s="12"/>
      <c r="J64" s="244"/>
      <c r="K64" s="243"/>
      <c r="L64" s="243"/>
      <c r="M64" s="243"/>
      <c r="N64" s="243"/>
      <c r="O64" s="243"/>
    </row>
    <row r="65" spans="2:15" ht="15" customHeight="1">
      <c r="B65" s="93" t="str">
        <f>'Financial Statements'!C54</f>
        <v>Trade and other receivables</v>
      </c>
      <c r="C65" s="94"/>
      <c r="D65" s="95">
        <f>'Financial Statements'!D54+'Financial Statements'!D61</f>
        <v>48118</v>
      </c>
      <c r="E65" s="95">
        <f>'Financial Statements'!E54+'Financial Statements'!E61</f>
        <v>40461</v>
      </c>
      <c r="F65" s="95">
        <f>'Financial Statements'!F54+'Financial Statements'!F61</f>
        <v>35162</v>
      </c>
      <c r="G65" s="95">
        <f>'Financial Statements'!G54+'Financial Statements'!G61</f>
        <v>35219</v>
      </c>
      <c r="H65" s="12"/>
      <c r="I65" s="12"/>
      <c r="J65" s="244"/>
      <c r="K65" s="243"/>
      <c r="L65" s="243"/>
      <c r="M65" s="243"/>
      <c r="N65" s="243"/>
      <c r="O65" s="243"/>
    </row>
    <row r="66" spans="2:15" ht="15" customHeight="1">
      <c r="B66" s="10" t="str">
        <f>'Financial Statements'!C55</f>
        <v>Inventories</v>
      </c>
      <c r="C66" s="23"/>
      <c r="D66" s="34">
        <f>'Financial Statements'!D55</f>
        <v>754</v>
      </c>
      <c r="E66" s="34">
        <f>'Financial Statements'!E55</f>
        <v>0</v>
      </c>
      <c r="F66" s="34">
        <f>'Financial Statements'!F55</f>
        <v>0</v>
      </c>
      <c r="G66" s="34">
        <f>'Financial Statements'!G55</f>
        <v>0</v>
      </c>
      <c r="H66" s="12"/>
      <c r="I66" s="12"/>
      <c r="J66" s="244"/>
      <c r="K66" s="243"/>
      <c r="L66" s="243"/>
      <c r="M66" s="243"/>
      <c r="N66" s="243"/>
      <c r="O66" s="243"/>
    </row>
    <row r="67" spans="2:15" ht="15" customHeight="1">
      <c r="B67" s="93" t="str">
        <f>'Financial Statements'!C56</f>
        <v>Tax receivables</v>
      </c>
      <c r="C67" s="94"/>
      <c r="D67" s="95">
        <f>'Financial Statements'!D56</f>
        <v>1498</v>
      </c>
      <c r="E67" s="95">
        <f>'Financial Statements'!E56</f>
        <v>984</v>
      </c>
      <c r="F67" s="95">
        <f>'Financial Statements'!F56</f>
        <v>41</v>
      </c>
      <c r="G67" s="95">
        <f>'Financial Statements'!G56</f>
        <v>566</v>
      </c>
      <c r="H67" s="12"/>
      <c r="I67" s="12"/>
      <c r="J67" s="244"/>
      <c r="K67" s="243"/>
      <c r="L67" s="243"/>
      <c r="M67" s="243"/>
      <c r="N67" s="243"/>
      <c r="O67" s="243"/>
    </row>
    <row r="68" spans="2:15" ht="15" customHeight="1">
      <c r="B68" s="90" t="str">
        <f>'Financial Statements'!C57</f>
        <v>Other assets</v>
      </c>
      <c r="C68" s="92"/>
      <c r="D68" s="91">
        <f>'Financial Statements'!D57</f>
        <v>2856</v>
      </c>
      <c r="E68" s="91">
        <f>'Financial Statements'!E57</f>
        <v>3187</v>
      </c>
      <c r="F68" s="91">
        <f>'Financial Statements'!F57</f>
        <v>2861</v>
      </c>
      <c r="G68" s="91">
        <f>'Financial Statements'!G57</f>
        <v>1548</v>
      </c>
      <c r="H68" s="12"/>
      <c r="I68" s="12"/>
      <c r="J68" s="244"/>
      <c r="K68" s="243"/>
      <c r="L68" s="243"/>
      <c r="M68" s="243"/>
      <c r="N68" s="243"/>
      <c r="O68" s="243"/>
    </row>
    <row r="69" spans="2:15" ht="15" customHeight="1">
      <c r="B69" s="93" t="str">
        <f>'Financial Statements'!C62</f>
        <v>Property, plant &amp; equipment</v>
      </c>
      <c r="C69" s="94"/>
      <c r="D69" s="95">
        <f>'Financial Statements'!D62</f>
        <v>7762</v>
      </c>
      <c r="E69" s="95">
        <f>'Financial Statements'!E62</f>
        <v>5712</v>
      </c>
      <c r="F69" s="95">
        <f>'Financial Statements'!F62</f>
        <v>7317</v>
      </c>
      <c r="G69" s="95">
        <f>'Financial Statements'!G62</f>
        <v>5091</v>
      </c>
      <c r="H69" s="12"/>
      <c r="I69" s="12"/>
      <c r="J69" s="244"/>
      <c r="K69" s="243"/>
      <c r="L69" s="243"/>
      <c r="M69" s="243"/>
      <c r="N69" s="243"/>
      <c r="O69" s="243"/>
    </row>
    <row r="70" spans="2:15" ht="15" customHeight="1">
      <c r="B70" s="10" t="str">
        <f>'Financial Statements'!C63</f>
        <v>Intangible assets</v>
      </c>
      <c r="C70" s="23"/>
      <c r="D70" s="34">
        <f>'Financial Statements'!D63</f>
        <v>51534</v>
      </c>
      <c r="E70" s="34">
        <f>'Financial Statements'!E63</f>
        <v>49068</v>
      </c>
      <c r="F70" s="34">
        <f>'Financial Statements'!F63</f>
        <v>38196</v>
      </c>
      <c r="G70" s="34">
        <f>'Financial Statements'!G63</f>
        <v>33508</v>
      </c>
      <c r="H70" s="12"/>
      <c r="I70" s="12"/>
      <c r="J70" s="244"/>
      <c r="K70" s="243"/>
      <c r="L70" s="243"/>
      <c r="M70" s="243"/>
      <c r="N70" s="243"/>
      <c r="O70" s="243"/>
    </row>
    <row r="71" spans="2:15" ht="15" customHeight="1">
      <c r="B71" s="93" t="str">
        <f>'Financial Statements'!C64</f>
        <v>Deferred tax assets</v>
      </c>
      <c r="C71" s="94"/>
      <c r="D71" s="180">
        <f>'Financial Statements'!D64</f>
        <v>84873</v>
      </c>
      <c r="E71" s="180">
        <f>'Financial Statements'!E64</f>
        <v>82120</v>
      </c>
      <c r="F71" s="180">
        <f>'Financial Statements'!F64</f>
        <v>82946</v>
      </c>
      <c r="G71" s="180">
        <f>'Financial Statements'!G64</f>
        <v>82301</v>
      </c>
      <c r="H71" s="12"/>
      <c r="I71" s="12"/>
      <c r="J71" s="244"/>
      <c r="K71" s="243"/>
      <c r="L71" s="243"/>
      <c r="M71" s="243"/>
      <c r="N71" s="243"/>
      <c r="O71" s="243"/>
    </row>
    <row r="72" spans="2:15" ht="15" customHeight="1">
      <c r="B72" s="187" t="s">
        <v>241</v>
      </c>
      <c r="C72" s="23"/>
      <c r="D72" s="184">
        <f>SUM(D64:D71)</f>
        <v>199122.52</v>
      </c>
      <c r="E72" s="184">
        <f t="shared" ref="E72:G72" si="15">SUM(E64:E71)</f>
        <v>182935.67999999999</v>
      </c>
      <c r="F72" s="184">
        <f t="shared" si="15"/>
        <v>167632.57</v>
      </c>
      <c r="G72" s="184">
        <f t="shared" si="15"/>
        <v>159169.99</v>
      </c>
      <c r="H72" s="12"/>
      <c r="I72" s="12"/>
      <c r="J72" s="244"/>
      <c r="K72" s="243"/>
      <c r="L72" s="243"/>
      <c r="M72" s="243"/>
      <c r="N72" s="243"/>
      <c r="O72" s="243"/>
    </row>
    <row r="73" spans="2:15" ht="15" customHeight="1">
      <c r="B73" s="93"/>
      <c r="C73" s="94"/>
      <c r="D73" s="95" t="s">
        <v>16</v>
      </c>
      <c r="E73" s="95" t="s">
        <v>16</v>
      </c>
      <c r="F73" s="95"/>
      <c r="G73" s="95"/>
      <c r="H73" s="12"/>
      <c r="I73" s="12"/>
      <c r="J73" s="244"/>
      <c r="K73" s="243"/>
      <c r="L73" s="243"/>
      <c r="M73" s="243"/>
      <c r="N73" s="243"/>
      <c r="O73" s="243"/>
    </row>
    <row r="74" spans="2:15" ht="15" customHeight="1">
      <c r="B74" s="51" t="s">
        <v>242</v>
      </c>
      <c r="C74" s="23"/>
      <c r="D74" s="34"/>
      <c r="E74" s="34"/>
      <c r="F74" s="34"/>
      <c r="G74" s="34"/>
      <c r="H74" s="12"/>
      <c r="I74" s="12"/>
      <c r="J74" s="244"/>
      <c r="K74" s="243"/>
      <c r="L74" s="243"/>
      <c r="M74" s="243"/>
      <c r="N74" s="243"/>
      <c r="O74" s="243"/>
    </row>
    <row r="75" spans="2:15" ht="15" customHeight="1">
      <c r="B75" s="93" t="str">
        <f>'Financial Statements'!C72</f>
        <v xml:space="preserve">Trade and other payables </v>
      </c>
      <c r="C75" s="94"/>
      <c r="D75" s="95">
        <f>'Financial Statements'!D72</f>
        <v>16278</v>
      </c>
      <c r="E75" s="95">
        <f>'Financial Statements'!E72</f>
        <v>12147</v>
      </c>
      <c r="F75" s="95">
        <f>'Financial Statements'!F72</f>
        <v>10179</v>
      </c>
      <c r="G75" s="95">
        <f>'Financial Statements'!G72</f>
        <v>7137</v>
      </c>
      <c r="H75" s="12"/>
      <c r="I75" s="12"/>
      <c r="J75" s="244"/>
      <c r="K75" s="243"/>
      <c r="L75" s="243"/>
      <c r="M75" s="243"/>
      <c r="N75" s="243"/>
      <c r="O75" s="243"/>
    </row>
    <row r="76" spans="2:15" ht="15" customHeight="1">
      <c r="B76" s="90" t="str">
        <f>'Financial Statements'!C73</f>
        <v>Tax liabilities</v>
      </c>
      <c r="C76" s="92"/>
      <c r="D76" s="91">
        <f>'Financial Statements'!D73</f>
        <v>5705</v>
      </c>
      <c r="E76" s="91">
        <f>'Financial Statements'!E73</f>
        <v>772</v>
      </c>
      <c r="F76" s="91">
        <f>'Financial Statements'!F73</f>
        <v>1008</v>
      </c>
      <c r="G76" s="91">
        <f>'Financial Statements'!G73</f>
        <v>2713</v>
      </c>
      <c r="H76" s="12"/>
      <c r="I76" s="12"/>
      <c r="J76" s="244"/>
      <c r="K76" s="243"/>
      <c r="L76" s="243"/>
      <c r="M76" s="243"/>
      <c r="N76" s="243"/>
      <c r="O76" s="243"/>
    </row>
    <row r="77" spans="2:15" ht="15" customHeight="1">
      <c r="B77" s="93" t="s">
        <v>243</v>
      </c>
      <c r="C77" s="94"/>
      <c r="D77" s="95">
        <f>'Financial Statements'!D74+'Financial Statements'!D82</f>
        <v>8516</v>
      </c>
      <c r="E77" s="95">
        <f>'Financial Statements'!E74+'Financial Statements'!E82</f>
        <v>5685</v>
      </c>
      <c r="F77" s="95">
        <f>'Financial Statements'!F74+'Financial Statements'!F82</f>
        <v>2154</v>
      </c>
      <c r="G77" s="95">
        <f>'Financial Statements'!G74+'Financial Statements'!G82</f>
        <v>5484</v>
      </c>
      <c r="H77" s="12"/>
      <c r="I77" s="12"/>
      <c r="J77" s="244"/>
      <c r="K77" s="243"/>
      <c r="L77" s="243"/>
      <c r="M77" s="243"/>
      <c r="N77" s="243"/>
      <c r="O77" s="243"/>
    </row>
    <row r="78" spans="2:15" ht="15" customHeight="1">
      <c r="B78" s="10" t="str">
        <f>'Financial Statements'!C76</f>
        <v>Deferred revenue</v>
      </c>
      <c r="C78" s="23"/>
      <c r="D78" s="34">
        <f>'Financial Statements'!D76+'Financial Statements'!D83</f>
        <v>55152</v>
      </c>
      <c r="E78" s="34">
        <f>'Financial Statements'!E76+'Financial Statements'!E83</f>
        <v>50024</v>
      </c>
      <c r="F78" s="34">
        <f>'Financial Statements'!F76+'Financial Statements'!F83</f>
        <v>45394</v>
      </c>
      <c r="G78" s="34">
        <f>'Financial Statements'!G76+'Financial Statements'!G83</f>
        <v>41272</v>
      </c>
      <c r="H78" s="12"/>
      <c r="I78" s="12"/>
      <c r="J78" s="244"/>
      <c r="K78" s="243"/>
      <c r="L78" s="243"/>
      <c r="M78" s="243"/>
      <c r="N78" s="243"/>
      <c r="O78" s="243"/>
    </row>
    <row r="79" spans="2:15" ht="15.75" customHeight="1">
      <c r="B79" s="93" t="str">
        <f>'Financial Statements'!C81</f>
        <v>Deferred tax liability</v>
      </c>
      <c r="C79" s="94"/>
      <c r="D79" s="95">
        <f>'Financial Statements'!D81</f>
        <v>5833</v>
      </c>
      <c r="E79" s="95">
        <f>'Financial Statements'!E81</f>
        <v>5566</v>
      </c>
      <c r="F79" s="95">
        <f>'Financial Statements'!F81</f>
        <v>5276</v>
      </c>
      <c r="G79" s="95">
        <f>'Financial Statements'!G81</f>
        <v>4793</v>
      </c>
      <c r="H79" s="12"/>
      <c r="I79" s="12"/>
      <c r="J79" s="244"/>
      <c r="K79" s="243"/>
      <c r="L79" s="243"/>
      <c r="M79" s="243"/>
      <c r="N79" s="243"/>
      <c r="O79" s="243"/>
    </row>
    <row r="80" spans="2:15" ht="15" customHeight="1">
      <c r="B80" s="7" t="str">
        <f>'Financial Statements'!C84</f>
        <v>Other liabilities</v>
      </c>
      <c r="C80" s="23"/>
      <c r="D80" s="186">
        <f>'Financial Statements'!D84</f>
        <v>1884</v>
      </c>
      <c r="E80" s="186">
        <f>'Financial Statements'!E84</f>
        <v>2098</v>
      </c>
      <c r="F80" s="186">
        <f>'Financial Statements'!F84</f>
        <v>674</v>
      </c>
      <c r="G80" s="186">
        <f>'Financial Statements'!G84</f>
        <v>1793</v>
      </c>
      <c r="H80" s="12"/>
      <c r="I80" s="12"/>
      <c r="J80" s="244"/>
      <c r="K80" s="243"/>
      <c r="L80" s="243"/>
      <c r="M80" s="243"/>
      <c r="N80" s="243"/>
      <c r="O80" s="243"/>
    </row>
    <row r="81" spans="1:15" ht="15" customHeight="1">
      <c r="B81" s="183" t="s">
        <v>244</v>
      </c>
      <c r="C81" s="94"/>
      <c r="D81" s="160">
        <f>SUM(D75:D80)</f>
        <v>93368</v>
      </c>
      <c r="E81" s="160">
        <f t="shared" ref="E81:G81" si="16">SUM(E75:E80)</f>
        <v>76292</v>
      </c>
      <c r="F81" s="160">
        <f t="shared" si="16"/>
        <v>64685</v>
      </c>
      <c r="G81" s="160">
        <f t="shared" si="16"/>
        <v>63192</v>
      </c>
      <c r="H81" s="12"/>
      <c r="I81" s="12"/>
      <c r="J81" s="244"/>
      <c r="K81" s="243"/>
      <c r="L81" s="243"/>
      <c r="M81" s="243"/>
      <c r="N81" s="243"/>
      <c r="O81" s="243"/>
    </row>
    <row r="82" spans="1:15" ht="15" customHeight="1">
      <c r="B82" s="10"/>
      <c r="C82" s="23"/>
      <c r="D82" s="34"/>
      <c r="E82" s="34"/>
      <c r="F82" s="34"/>
      <c r="G82" s="34"/>
      <c r="H82" s="12"/>
      <c r="I82" s="12"/>
      <c r="J82" s="244"/>
      <c r="K82" s="243"/>
      <c r="L82" s="243"/>
      <c r="M82" s="243"/>
      <c r="N82" s="243"/>
      <c r="O82" s="243"/>
    </row>
    <row r="83" spans="1:15" ht="15" customHeight="1">
      <c r="B83" s="183" t="s">
        <v>245</v>
      </c>
      <c r="C83" s="94"/>
      <c r="D83" s="171">
        <f>D72-D81</f>
        <v>105754.51999999999</v>
      </c>
      <c r="E83" s="171">
        <f t="shared" ref="E83:G83" si="17">E72-E81</f>
        <v>106643.68</v>
      </c>
      <c r="F83" s="171">
        <f t="shared" si="17"/>
        <v>102947.57</v>
      </c>
      <c r="G83" s="171">
        <f t="shared" si="17"/>
        <v>95977.989999999991</v>
      </c>
      <c r="H83" s="12"/>
      <c r="I83" s="12"/>
      <c r="J83" s="244"/>
      <c r="K83" s="243"/>
      <c r="L83" s="243"/>
      <c r="M83" s="243"/>
      <c r="N83" s="243"/>
      <c r="O83" s="243"/>
    </row>
    <row r="84" spans="1:15" ht="15" customHeight="1">
      <c r="B84" s="90"/>
      <c r="C84" s="92"/>
      <c r="D84" s="91"/>
      <c r="E84" s="91"/>
      <c r="F84" s="91"/>
      <c r="G84" s="91"/>
      <c r="H84" s="12"/>
      <c r="I84" s="12"/>
      <c r="J84" s="244"/>
      <c r="K84" s="243"/>
      <c r="L84" s="243"/>
      <c r="M84" s="243"/>
      <c r="N84" s="243"/>
      <c r="O84" s="243"/>
    </row>
    <row r="85" spans="1:15" ht="15" customHeight="1">
      <c r="B85" s="146" t="s">
        <v>246</v>
      </c>
      <c r="C85" s="94"/>
      <c r="D85" s="95"/>
      <c r="E85" s="95"/>
      <c r="F85" s="95"/>
      <c r="G85" s="95"/>
      <c r="H85" s="12"/>
      <c r="I85" s="12"/>
      <c r="J85" s="244"/>
      <c r="K85" s="243"/>
      <c r="L85" s="243"/>
      <c r="M85" s="243"/>
      <c r="N85" s="243"/>
      <c r="O85" s="243"/>
    </row>
    <row r="86" spans="1:15" ht="15.75" customHeight="1">
      <c r="B86" s="10" t="str">
        <f>'Financial Statements'!C53</f>
        <v>Cash and cash equivalents</v>
      </c>
      <c r="C86" s="23"/>
      <c r="D86" s="186">
        <f>D125</f>
        <v>78803.48</v>
      </c>
      <c r="E86" s="186">
        <f t="shared" ref="E86:G86" si="18">E125</f>
        <v>51055.32</v>
      </c>
      <c r="F86" s="186">
        <f t="shared" si="18"/>
        <v>43163.43</v>
      </c>
      <c r="G86" s="186">
        <f t="shared" si="18"/>
        <v>37202.01</v>
      </c>
      <c r="H86" s="12"/>
      <c r="I86" s="12"/>
      <c r="J86" s="244"/>
      <c r="K86" s="243"/>
      <c r="L86" s="243"/>
      <c r="M86" s="243"/>
      <c r="N86" s="243"/>
      <c r="O86" s="243"/>
    </row>
    <row r="87" spans="1:15" ht="15" customHeight="1">
      <c r="B87" s="183" t="s">
        <v>247</v>
      </c>
      <c r="C87" s="94"/>
      <c r="D87" s="160">
        <f>SUM(D86)</f>
        <v>78803.48</v>
      </c>
      <c r="E87" s="160">
        <f t="shared" ref="E87:G87" si="19">SUM(E86)</f>
        <v>51055.32</v>
      </c>
      <c r="F87" s="160">
        <f t="shared" si="19"/>
        <v>43163.43</v>
      </c>
      <c r="G87" s="160">
        <f t="shared" si="19"/>
        <v>37202.01</v>
      </c>
      <c r="H87" s="12"/>
      <c r="I87" s="12"/>
      <c r="J87" s="244"/>
      <c r="K87" s="243"/>
      <c r="L87" s="243"/>
      <c r="M87" s="243"/>
      <c r="N87" s="243"/>
      <c r="O87" s="243"/>
    </row>
    <row r="88" spans="1:15" ht="15" customHeight="1">
      <c r="A88" s="18"/>
      <c r="B88" s="7"/>
      <c r="C88" s="23"/>
      <c r="D88" s="34" t="s">
        <v>16</v>
      </c>
      <c r="E88" s="34" t="s">
        <v>16</v>
      </c>
      <c r="F88" s="34"/>
      <c r="G88" s="34"/>
      <c r="H88" s="10"/>
      <c r="I88" s="10"/>
      <c r="J88" s="244"/>
      <c r="K88" s="243"/>
      <c r="L88" s="243"/>
      <c r="M88" s="243"/>
      <c r="N88" s="243"/>
      <c r="O88" s="243"/>
    </row>
    <row r="89" spans="1:15" ht="15" customHeight="1">
      <c r="A89" s="18"/>
      <c r="B89" s="146" t="s">
        <v>248</v>
      </c>
      <c r="C89" s="94"/>
      <c r="D89" s="95" t="s">
        <v>16</v>
      </c>
      <c r="E89" s="95" t="s">
        <v>16</v>
      </c>
      <c r="F89" s="95"/>
      <c r="G89" s="95"/>
      <c r="H89" s="10"/>
      <c r="I89" s="10"/>
      <c r="J89" s="244"/>
      <c r="K89" s="243"/>
      <c r="L89" s="243"/>
      <c r="M89" s="243"/>
      <c r="N89" s="243"/>
      <c r="O89" s="243"/>
    </row>
    <row r="90" spans="1:15" ht="15" customHeight="1">
      <c r="A90" s="18"/>
      <c r="B90" s="10" t="str">
        <f>'Financial Statements'!C71</f>
        <v>Borrowings</v>
      </c>
      <c r="C90" s="23"/>
      <c r="D90" s="34">
        <f>'Financial Statements'!D71+'Financial Statements'!D80</f>
        <v>0</v>
      </c>
      <c r="E90" s="34">
        <f>'Financial Statements'!E71+'Financial Statements'!E80</f>
        <v>0</v>
      </c>
      <c r="F90" s="34">
        <f>'Financial Statements'!F71+'Financial Statements'!F80</f>
        <v>0</v>
      </c>
      <c r="G90" s="34">
        <f>'Financial Statements'!G71+'Financial Statements'!G80</f>
        <v>71</v>
      </c>
      <c r="H90" s="10"/>
      <c r="I90" s="10"/>
      <c r="J90" s="244"/>
      <c r="K90" s="243"/>
      <c r="L90" s="243"/>
      <c r="M90" s="243"/>
      <c r="N90" s="243"/>
      <c r="O90" s="243"/>
    </row>
    <row r="91" spans="1:15" ht="15" customHeight="1">
      <c r="A91" s="18"/>
      <c r="B91" s="93" t="str">
        <f>'Financial Statements'!C75</f>
        <v xml:space="preserve">Provisions - Contingent consideration </v>
      </c>
      <c r="C91" s="94"/>
      <c r="D91" s="180">
        <f>'Financial Statements'!D75</f>
        <v>0</v>
      </c>
      <c r="E91" s="180">
        <f>'Financial Statements'!E75</f>
        <v>5073</v>
      </c>
      <c r="F91" s="180">
        <f>'Financial Statements'!F75</f>
        <v>6149</v>
      </c>
      <c r="G91" s="180">
        <f>'Financial Statements'!G75</f>
        <v>2314</v>
      </c>
      <c r="H91" s="10"/>
      <c r="I91" s="10"/>
      <c r="J91" s="244"/>
      <c r="K91" s="243"/>
      <c r="L91" s="243"/>
      <c r="M91" s="243"/>
      <c r="N91" s="243"/>
      <c r="O91" s="243"/>
    </row>
    <row r="92" spans="1:15" ht="15" customHeight="1">
      <c r="A92" s="18"/>
      <c r="B92" s="189" t="s">
        <v>249</v>
      </c>
      <c r="C92" s="92"/>
      <c r="D92" s="178">
        <f>SUM(D90:D91)</f>
        <v>0</v>
      </c>
      <c r="E92" s="178">
        <f t="shared" ref="E92:G92" si="20">SUM(E90:E91)</f>
        <v>5073</v>
      </c>
      <c r="F92" s="178">
        <f t="shared" si="20"/>
        <v>6149</v>
      </c>
      <c r="G92" s="178">
        <f t="shared" si="20"/>
        <v>2385</v>
      </c>
      <c r="H92" s="10"/>
      <c r="I92" s="10"/>
      <c r="J92" s="244"/>
      <c r="K92" s="243"/>
      <c r="L92" s="243"/>
      <c r="M92" s="243"/>
      <c r="N92" s="243"/>
      <c r="O92" s="243"/>
    </row>
    <row r="93" spans="1:15" ht="15" customHeight="1">
      <c r="A93" s="18"/>
      <c r="B93" s="93"/>
      <c r="C93" s="94"/>
      <c r="D93" s="95"/>
      <c r="E93" s="95"/>
      <c r="F93" s="95"/>
      <c r="G93" s="95"/>
      <c r="H93" s="10"/>
      <c r="I93" s="10"/>
      <c r="J93" s="244"/>
      <c r="K93" s="243"/>
      <c r="L93" s="243"/>
      <c r="M93" s="243"/>
      <c r="N93" s="243"/>
      <c r="O93" s="243"/>
    </row>
    <row r="94" spans="1:15" ht="15" customHeight="1">
      <c r="A94" s="18"/>
      <c r="B94" s="187" t="s">
        <v>250</v>
      </c>
      <c r="C94" s="23"/>
      <c r="D94" s="190">
        <f>D87-D92</f>
        <v>78803.48</v>
      </c>
      <c r="E94" s="190">
        <f t="shared" ref="E94:G94" si="21">E87-E92</f>
        <v>45982.32</v>
      </c>
      <c r="F94" s="190">
        <f t="shared" si="21"/>
        <v>37014.43</v>
      </c>
      <c r="G94" s="190">
        <f t="shared" si="21"/>
        <v>34817.01</v>
      </c>
      <c r="H94" s="10"/>
      <c r="I94" s="10"/>
      <c r="J94" s="244"/>
      <c r="K94" s="243"/>
      <c r="L94" s="243"/>
      <c r="M94" s="243"/>
      <c r="N94" s="243"/>
      <c r="O94" s="243"/>
    </row>
    <row r="95" spans="1:15" ht="15" customHeight="1">
      <c r="A95" s="18"/>
      <c r="B95" s="93"/>
      <c r="C95" s="94"/>
      <c r="D95" s="95" t="s">
        <v>16</v>
      </c>
      <c r="E95" s="95" t="s">
        <v>16</v>
      </c>
      <c r="F95" s="95"/>
      <c r="G95" s="95"/>
      <c r="H95" s="10"/>
      <c r="I95" s="10"/>
      <c r="J95" s="244"/>
      <c r="K95" s="243"/>
      <c r="L95" s="243"/>
      <c r="M95" s="243"/>
      <c r="N95" s="243"/>
      <c r="O95" s="243"/>
    </row>
    <row r="96" spans="1:15" ht="15" customHeight="1">
      <c r="A96" s="18"/>
      <c r="B96" s="51" t="s">
        <v>251</v>
      </c>
      <c r="C96" s="23"/>
      <c r="D96" s="34" t="s">
        <v>16</v>
      </c>
      <c r="E96" s="34" t="s">
        <v>16</v>
      </c>
      <c r="F96" s="34"/>
      <c r="G96" s="34"/>
      <c r="H96" s="10"/>
      <c r="I96" s="10"/>
      <c r="J96" s="244"/>
      <c r="K96" s="243"/>
      <c r="L96" s="243"/>
      <c r="M96" s="243"/>
      <c r="N96" s="243"/>
      <c r="O96" s="243"/>
    </row>
    <row r="97" spans="1:15" ht="15" customHeight="1">
      <c r="A97" s="18"/>
      <c r="B97" s="93" t="str">
        <f>'Financial Statements'!C92</f>
        <v xml:space="preserve">Contributed equity </v>
      </c>
      <c r="C97" s="94"/>
      <c r="D97" s="95">
        <f>'Financial Statements'!D92</f>
        <v>126058</v>
      </c>
      <c r="E97" s="95">
        <f>'Financial Statements'!E92</f>
        <v>125635</v>
      </c>
      <c r="F97" s="95">
        <f>'Financial Statements'!F92</f>
        <v>125177</v>
      </c>
      <c r="G97" s="95">
        <f>'Financial Statements'!G92</f>
        <v>125177</v>
      </c>
      <c r="H97" s="10"/>
      <c r="I97" s="10"/>
      <c r="J97" s="244"/>
      <c r="K97" s="243"/>
      <c r="L97" s="243"/>
      <c r="M97" s="243"/>
      <c r="N97" s="243"/>
      <c r="O97" s="243"/>
    </row>
    <row r="98" spans="1:15" ht="15" customHeight="1">
      <c r="A98" s="18"/>
      <c r="B98" s="10" t="str">
        <f>'Financial Statements'!C93</f>
        <v>Reserves</v>
      </c>
      <c r="C98" s="23"/>
      <c r="D98" s="34">
        <f>'Financial Statements'!D93</f>
        <v>19079</v>
      </c>
      <c r="E98" s="34">
        <f>'Financial Statements'!E93</f>
        <v>12625</v>
      </c>
      <c r="F98" s="34">
        <f>'Financial Statements'!F93</f>
        <v>12275</v>
      </c>
      <c r="G98" s="34">
        <f>'Financial Statements'!G93</f>
        <v>10394</v>
      </c>
      <c r="H98" s="10"/>
      <c r="I98" s="10"/>
      <c r="J98" s="244"/>
      <c r="K98" s="243"/>
      <c r="L98" s="243"/>
      <c r="M98" s="243"/>
      <c r="N98" s="243"/>
      <c r="O98" s="243"/>
    </row>
    <row r="99" spans="1:15" ht="15" customHeight="1">
      <c r="B99" s="93" t="str">
        <f>'Financial Statements'!C94</f>
        <v>Retained profits/(accumulated losses)</v>
      </c>
      <c r="C99" s="94"/>
      <c r="D99" s="180">
        <f>'Financial Statements'!D94</f>
        <v>39421</v>
      </c>
      <c r="E99" s="180">
        <f>'Financial Statements'!E94</f>
        <v>14366</v>
      </c>
      <c r="F99" s="180">
        <f>'Financial Statements'!F94</f>
        <v>2510</v>
      </c>
      <c r="G99" s="180">
        <f>'Financial Statements'!G94</f>
        <v>-4776</v>
      </c>
      <c r="H99" s="8"/>
      <c r="I99" s="8"/>
      <c r="J99" s="244"/>
      <c r="K99" s="243"/>
      <c r="L99" s="243"/>
      <c r="M99" s="243"/>
      <c r="N99" s="243"/>
      <c r="O99" s="243"/>
    </row>
    <row r="100" spans="1:15" ht="15" customHeight="1">
      <c r="B100" s="189" t="s">
        <v>252</v>
      </c>
      <c r="C100" s="92"/>
      <c r="D100" s="178">
        <f>SUM(D97:D99)</f>
        <v>184558</v>
      </c>
      <c r="E100" s="178">
        <f t="shared" ref="E100:G100" si="22">SUM(E97:E99)</f>
        <v>152626</v>
      </c>
      <c r="F100" s="178">
        <f t="shared" si="22"/>
        <v>139962</v>
      </c>
      <c r="G100" s="178">
        <f t="shared" si="22"/>
        <v>130795</v>
      </c>
      <c r="H100" s="10"/>
      <c r="I100" s="10"/>
      <c r="J100" s="244"/>
      <c r="K100" s="243"/>
      <c r="L100" s="243"/>
      <c r="M100" s="243"/>
      <c r="N100" s="243"/>
      <c r="O100" s="243"/>
    </row>
    <row r="101" spans="1:15" ht="15" customHeight="1">
      <c r="B101" s="93"/>
      <c r="C101" s="94"/>
      <c r="D101" s="95"/>
      <c r="E101" s="95"/>
      <c r="F101" s="95"/>
      <c r="G101" s="95"/>
      <c r="H101" s="8"/>
      <c r="I101" s="8"/>
      <c r="J101" s="244"/>
      <c r="K101" s="243"/>
      <c r="L101" s="243"/>
      <c r="M101" s="243"/>
      <c r="N101" s="243"/>
      <c r="O101" s="243"/>
    </row>
    <row r="102" spans="1:15" ht="15" customHeight="1">
      <c r="B102" s="192" t="s">
        <v>253</v>
      </c>
      <c r="C102" s="109"/>
      <c r="D102" s="191">
        <f>D94-D100</f>
        <v>-105754.52</v>
      </c>
      <c r="E102" s="191">
        <f t="shared" ref="E102:G102" si="23">E94-E100</f>
        <v>-106643.68</v>
      </c>
      <c r="F102" s="191">
        <f t="shared" si="23"/>
        <v>-102947.57</v>
      </c>
      <c r="G102" s="191">
        <f t="shared" si="23"/>
        <v>-95977.989999999991</v>
      </c>
      <c r="H102" s="8"/>
      <c r="I102" s="8"/>
      <c r="J102" s="244"/>
      <c r="K102" s="243"/>
      <c r="L102" s="243"/>
      <c r="M102" s="243"/>
      <c r="N102" s="243"/>
      <c r="O102" s="243"/>
    </row>
    <row r="103" spans="1:15" ht="15" customHeight="1">
      <c r="A103" s="18"/>
      <c r="B103" s="93"/>
      <c r="C103" s="94"/>
      <c r="D103" s="95" t="s">
        <v>16</v>
      </c>
      <c r="E103" s="95" t="s">
        <v>16</v>
      </c>
      <c r="F103" s="95"/>
      <c r="G103" s="95"/>
      <c r="H103" s="10"/>
      <c r="I103" s="10"/>
      <c r="J103" s="244"/>
      <c r="K103" s="243"/>
      <c r="L103" s="243"/>
      <c r="M103" s="243"/>
      <c r="N103" s="243"/>
      <c r="O103" s="243"/>
    </row>
    <row r="104" spans="1:15" ht="15" customHeight="1">
      <c r="B104" s="90"/>
      <c r="C104" s="92"/>
      <c r="D104" s="91"/>
      <c r="E104" s="91"/>
      <c r="F104" s="91"/>
      <c r="G104" s="91"/>
      <c r="H104" s="10"/>
      <c r="I104" s="10"/>
      <c r="J104" s="244"/>
      <c r="K104" s="243"/>
      <c r="L104" s="243"/>
      <c r="M104" s="243"/>
      <c r="N104" s="243"/>
      <c r="O104" s="243"/>
    </row>
    <row r="105" spans="1:15" ht="16">
      <c r="B105" s="230" t="s">
        <v>60</v>
      </c>
      <c r="C105" s="231"/>
      <c r="D105" s="231"/>
      <c r="E105" s="231"/>
      <c r="F105" s="231"/>
      <c r="G105" s="231"/>
      <c r="H105" s="231"/>
      <c r="I105" s="231"/>
      <c r="J105" s="244"/>
      <c r="K105" s="243"/>
      <c r="L105" s="243"/>
      <c r="M105" s="243"/>
      <c r="N105" s="243"/>
      <c r="O105" s="243"/>
    </row>
    <row r="106" spans="1:15">
      <c r="B106" s="227" t="s">
        <v>71</v>
      </c>
      <c r="C106" s="228"/>
      <c r="D106" s="228"/>
      <c r="E106" s="228"/>
      <c r="F106" s="228"/>
      <c r="G106" s="228"/>
      <c r="H106" s="228"/>
      <c r="I106" s="228"/>
      <c r="J106" s="244"/>
      <c r="K106" s="243"/>
      <c r="L106" s="243"/>
      <c r="M106" s="243"/>
      <c r="N106" s="243"/>
      <c r="O106" s="243"/>
    </row>
    <row r="107" spans="1:15">
      <c r="B107" s="227"/>
      <c r="C107" s="228"/>
      <c r="D107" s="228"/>
      <c r="E107" s="228"/>
      <c r="F107" s="228"/>
      <c r="G107" s="228"/>
      <c r="H107" s="228"/>
      <c r="I107" s="228"/>
      <c r="J107" s="244"/>
      <c r="K107" s="243"/>
      <c r="L107" s="243"/>
      <c r="M107" s="243"/>
      <c r="N107" s="243"/>
      <c r="O107" s="243"/>
    </row>
    <row r="108" spans="1:15">
      <c r="B108" s="25"/>
      <c r="C108" s="36"/>
      <c r="D108" s="1"/>
      <c r="E108" s="36"/>
      <c r="F108" s="36"/>
      <c r="G108" s="36"/>
      <c r="H108" s="1"/>
      <c r="I108" s="1"/>
      <c r="J108" s="244"/>
      <c r="K108" s="243"/>
      <c r="L108" s="243"/>
      <c r="M108" s="243"/>
      <c r="N108" s="243"/>
      <c r="O108" s="243"/>
    </row>
    <row r="109" spans="1:15">
      <c r="B109" s="163" t="s">
        <v>254</v>
      </c>
      <c r="C109" s="36"/>
      <c r="D109" s="198">
        <v>2019</v>
      </c>
      <c r="E109" s="198">
        <v>2018</v>
      </c>
      <c r="F109" s="198">
        <v>2017</v>
      </c>
      <c r="G109" s="198">
        <v>2016</v>
      </c>
      <c r="H109" s="1"/>
      <c r="I109" s="1"/>
      <c r="J109" s="244"/>
      <c r="K109" s="243"/>
      <c r="L109" s="243"/>
      <c r="M109" s="243"/>
      <c r="N109" s="243"/>
      <c r="O109" s="243"/>
    </row>
    <row r="110" spans="1:15">
      <c r="B110" s="25" t="s">
        <v>255</v>
      </c>
      <c r="C110" s="36"/>
      <c r="D110" s="194">
        <v>0.3</v>
      </c>
      <c r="E110" s="194">
        <v>0.3</v>
      </c>
      <c r="F110" s="194">
        <v>0.3</v>
      </c>
      <c r="G110" s="194">
        <v>0.3</v>
      </c>
      <c r="H110" s="1"/>
      <c r="I110" s="1"/>
      <c r="J110" s="244"/>
      <c r="K110" s="243"/>
      <c r="L110" s="243"/>
      <c r="M110" s="243"/>
      <c r="N110" s="243"/>
      <c r="O110" s="243"/>
    </row>
    <row r="111" spans="1:15">
      <c r="B111" s="25" t="s">
        <v>256</v>
      </c>
      <c r="C111" s="36"/>
      <c r="D111" s="36" t="b">
        <f>D39+D48='Financial Statements'!D39</f>
        <v>1</v>
      </c>
      <c r="E111" s="36" t="b">
        <f>E39+E48='Financial Statements'!E39</f>
        <v>1</v>
      </c>
      <c r="F111" s="36" t="b">
        <f>F39+F48='Financial Statements'!F39</f>
        <v>1</v>
      </c>
      <c r="G111" s="36" t="b">
        <f>G39+G48='Financial Statements'!G39</f>
        <v>1</v>
      </c>
      <c r="H111" s="1"/>
      <c r="I111" s="1"/>
      <c r="J111" s="244"/>
      <c r="K111" s="243"/>
      <c r="L111" s="243"/>
      <c r="M111" s="243"/>
      <c r="N111" s="243"/>
      <c r="O111" s="243"/>
    </row>
    <row r="112" spans="1:15">
      <c r="B112" s="25" t="s">
        <v>257</v>
      </c>
      <c r="C112" s="36"/>
      <c r="D112" s="197" t="b">
        <f>'Financial Statements'!D39='Restated Financial Statements'!D54</f>
        <v>1</v>
      </c>
      <c r="E112" s="197" t="b">
        <f>'Financial Statements'!E39='Restated Financial Statements'!E54</f>
        <v>1</v>
      </c>
      <c r="F112" s="197" t="b">
        <f>'Financial Statements'!F39='Restated Financial Statements'!F54</f>
        <v>1</v>
      </c>
      <c r="G112" s="197" t="b">
        <f>'Financial Statements'!G39='Restated Financial Statements'!G54</f>
        <v>1</v>
      </c>
      <c r="H112" s="1"/>
      <c r="I112" s="1"/>
      <c r="J112" s="244"/>
      <c r="K112" s="243"/>
      <c r="L112" s="243"/>
      <c r="M112" s="243"/>
      <c r="N112" s="243"/>
      <c r="O112" s="243"/>
    </row>
    <row r="113" spans="2:15">
      <c r="B113" s="25"/>
      <c r="C113" s="36"/>
      <c r="D113" s="1"/>
      <c r="E113" s="36"/>
      <c r="F113" s="36"/>
      <c r="G113" s="36"/>
      <c r="H113" s="1"/>
      <c r="I113" s="1"/>
      <c r="J113" s="244"/>
      <c r="K113" s="243"/>
      <c r="L113" s="243"/>
      <c r="M113" s="243"/>
      <c r="N113" s="243"/>
      <c r="O113" s="243"/>
    </row>
    <row r="114" spans="2:15">
      <c r="B114" s="163" t="s">
        <v>258</v>
      </c>
      <c r="C114" s="36"/>
      <c r="D114" s="1"/>
      <c r="E114" s="36"/>
      <c r="F114" s="36"/>
      <c r="G114" s="36"/>
      <c r="H114" s="1"/>
      <c r="I114" s="1"/>
      <c r="J114" s="244"/>
      <c r="K114" s="243"/>
      <c r="L114" s="243"/>
      <c r="M114" s="243"/>
      <c r="N114" s="243"/>
      <c r="O114" s="243"/>
    </row>
    <row r="115" spans="2:15">
      <c r="B115" s="25" t="s">
        <v>259</v>
      </c>
      <c r="C115" s="36"/>
      <c r="D115" s="36" t="b">
        <f>'Financial Statements'!D67='Restated Financial Statements'!D81+'Restated Financial Statements'!D92+'Restated Financial Statements'!D100</f>
        <v>1</v>
      </c>
      <c r="E115" s="36" t="b">
        <f>'Financial Statements'!E67='Restated Financial Statements'!E81+'Restated Financial Statements'!E92+'Restated Financial Statements'!E100</f>
        <v>1</v>
      </c>
      <c r="F115" s="36" t="b">
        <f>'Financial Statements'!F67='Restated Financial Statements'!F81+'Restated Financial Statements'!F92+'Restated Financial Statements'!F100</f>
        <v>1</v>
      </c>
      <c r="G115" s="36" t="b">
        <f>'Financial Statements'!G67='Restated Financial Statements'!G81+'Restated Financial Statements'!G92+'Restated Financial Statements'!G100</f>
        <v>1</v>
      </c>
      <c r="H115" s="1"/>
      <c r="I115" s="1"/>
      <c r="J115" s="244"/>
      <c r="K115" s="243"/>
      <c r="L115" s="243"/>
      <c r="M115" s="243"/>
      <c r="N115" s="243"/>
      <c r="O115" s="243"/>
    </row>
    <row r="116" spans="2:15">
      <c r="B116" s="25" t="s">
        <v>260</v>
      </c>
      <c r="C116" s="36"/>
      <c r="D116" s="36" t="b">
        <f>D83=D100-D94</f>
        <v>1</v>
      </c>
      <c r="E116" s="36" t="b">
        <f t="shared" ref="E116:G116" si="24">E83=E100-E94</f>
        <v>1</v>
      </c>
      <c r="F116" s="36" t="b">
        <f t="shared" si="24"/>
        <v>1</v>
      </c>
      <c r="G116" s="36" t="b">
        <f t="shared" si="24"/>
        <v>1</v>
      </c>
      <c r="H116" s="1"/>
      <c r="I116" s="1"/>
      <c r="J116" s="244"/>
      <c r="K116" s="243"/>
      <c r="L116" s="243"/>
      <c r="M116" s="243"/>
      <c r="N116" s="243"/>
      <c r="O116" s="243"/>
    </row>
    <row r="117" spans="2:15">
      <c r="B117" s="25" t="s">
        <v>261</v>
      </c>
      <c r="C117" s="36"/>
      <c r="D117" s="36" t="b">
        <f>D72+D87='Financial Statements'!D67</f>
        <v>1</v>
      </c>
      <c r="E117" s="36" t="b">
        <f>E72+E87='Financial Statements'!E67</f>
        <v>1</v>
      </c>
      <c r="F117" s="36" t="b">
        <f>F72+F87='Financial Statements'!F67</f>
        <v>1</v>
      </c>
      <c r="G117" s="36" t="b">
        <f>G72+G87='Financial Statements'!G67</f>
        <v>1</v>
      </c>
      <c r="H117" s="1"/>
      <c r="I117" s="1"/>
      <c r="J117" s="244"/>
      <c r="K117" s="243"/>
      <c r="L117" s="243"/>
      <c r="M117" s="243"/>
      <c r="N117" s="243"/>
      <c r="O117" s="243"/>
    </row>
    <row r="118" spans="2:15">
      <c r="B118" s="25" t="s">
        <v>262</v>
      </c>
      <c r="C118" s="36"/>
      <c r="D118" s="36" t="b">
        <f>D81+D92='Financial Statements'!D87</f>
        <v>1</v>
      </c>
      <c r="E118" s="36" t="b">
        <f>E81+E92='Financial Statements'!E87</f>
        <v>1</v>
      </c>
      <c r="F118" s="36" t="b">
        <f>F81+F92='Financial Statements'!F87</f>
        <v>1</v>
      </c>
      <c r="G118" s="36" t="b">
        <f>G81+G92='Financial Statements'!G87</f>
        <v>1</v>
      </c>
      <c r="H118" s="1"/>
      <c r="I118" s="1"/>
      <c r="J118" s="244"/>
      <c r="K118" s="243"/>
      <c r="L118" s="243"/>
      <c r="M118" s="243"/>
      <c r="N118" s="243"/>
      <c r="O118" s="243"/>
    </row>
    <row r="119" spans="2:15">
      <c r="B119" s="25"/>
      <c r="C119" s="36"/>
      <c r="D119" s="1"/>
      <c r="E119" s="36"/>
      <c r="F119" s="36"/>
      <c r="G119" s="36"/>
      <c r="H119" s="1"/>
      <c r="I119" s="1"/>
      <c r="J119" s="244"/>
      <c r="K119" s="243"/>
      <c r="L119" s="243"/>
      <c r="M119" s="243"/>
      <c r="N119" s="243"/>
      <c r="O119" s="243"/>
    </row>
    <row r="120" spans="2:15">
      <c r="B120" s="163" t="s">
        <v>263</v>
      </c>
      <c r="C120" s="36"/>
      <c r="D120" s="1"/>
      <c r="E120" s="36"/>
      <c r="F120" s="36"/>
      <c r="G120" s="36"/>
      <c r="H120" s="1"/>
      <c r="I120" s="1"/>
      <c r="J120" s="244"/>
      <c r="K120" s="243"/>
      <c r="L120" s="243"/>
      <c r="M120" s="243"/>
      <c r="N120" s="243"/>
      <c r="O120" s="243"/>
    </row>
    <row r="121" spans="2:15">
      <c r="B121" s="25" t="s">
        <v>163</v>
      </c>
      <c r="C121" s="36"/>
      <c r="D121" s="1">
        <f>'Financial Statements'!D53</f>
        <v>80531</v>
      </c>
      <c r="E121" s="1">
        <f>'Financial Statements'!E53</f>
        <v>52459</v>
      </c>
      <c r="F121" s="1">
        <f>'Financial Statements'!F53</f>
        <v>44273</v>
      </c>
      <c r="G121" s="1">
        <f>'Financial Statements'!G53</f>
        <v>38139</v>
      </c>
      <c r="H121" s="1"/>
      <c r="I121" s="1"/>
      <c r="J121" s="244"/>
      <c r="K121" s="243"/>
      <c r="L121" s="243"/>
      <c r="M121" s="243"/>
      <c r="N121" s="243"/>
      <c r="O121" s="243"/>
    </row>
    <row r="122" spans="2:15">
      <c r="B122" s="25" t="s">
        <v>138</v>
      </c>
      <c r="C122" s="36"/>
      <c r="D122" s="1">
        <f>'Financial Statements'!D11</f>
        <v>172752</v>
      </c>
      <c r="E122" s="1">
        <f>'Financial Statements'!E11</f>
        <v>140368</v>
      </c>
      <c r="F122" s="1">
        <f>'Financial Statements'!F11</f>
        <v>110957</v>
      </c>
      <c r="G122" s="1">
        <f>'Financial Statements'!G11</f>
        <v>93699</v>
      </c>
      <c r="H122" s="1"/>
      <c r="I122" s="1"/>
      <c r="J122" s="244"/>
      <c r="K122" s="243"/>
      <c r="L122" s="243"/>
      <c r="M122" s="243"/>
      <c r="N122" s="243"/>
      <c r="O122" s="243"/>
    </row>
    <row r="123" spans="2:15">
      <c r="B123" s="25" t="s">
        <v>264</v>
      </c>
      <c r="C123" s="36"/>
      <c r="D123" s="195">
        <f>(D121/D122)</f>
        <v>0.46616537001018804</v>
      </c>
      <c r="E123" s="195">
        <f t="shared" ref="E123:G123" si="25">(E121/E122)</f>
        <v>0.37372478057676961</v>
      </c>
      <c r="F123" s="195">
        <f t="shared" si="25"/>
        <v>0.399010427462891</v>
      </c>
      <c r="G123" s="195">
        <f t="shared" si="25"/>
        <v>0.40703742836102841</v>
      </c>
      <c r="H123" s="1"/>
      <c r="I123" s="1"/>
      <c r="J123" s="244"/>
      <c r="K123" s="243"/>
      <c r="L123" s="243"/>
      <c r="M123" s="243"/>
      <c r="N123" s="243"/>
      <c r="O123" s="243"/>
    </row>
    <row r="124" spans="2:15">
      <c r="B124" s="25" t="s">
        <v>265</v>
      </c>
      <c r="C124" s="36"/>
      <c r="D124" s="196">
        <f>D122*1%</f>
        <v>1727.52</v>
      </c>
      <c r="E124" s="196">
        <f t="shared" ref="E124:G124" si="26">E122*1%</f>
        <v>1403.68</v>
      </c>
      <c r="F124" s="196">
        <f t="shared" si="26"/>
        <v>1109.57</v>
      </c>
      <c r="G124" s="196">
        <f t="shared" si="26"/>
        <v>936.99</v>
      </c>
      <c r="H124" s="1"/>
      <c r="I124" s="1"/>
      <c r="J124" s="244"/>
      <c r="K124" s="243"/>
      <c r="L124" s="243"/>
      <c r="M124" s="243"/>
      <c r="N124" s="243"/>
      <c r="O124" s="243"/>
    </row>
    <row r="125" spans="2:15">
      <c r="B125" s="25" t="s">
        <v>266</v>
      </c>
      <c r="C125" s="36"/>
      <c r="D125" s="199">
        <f>D121-D124</f>
        <v>78803.48</v>
      </c>
      <c r="E125" s="199">
        <f t="shared" ref="E125:G125" si="27">E121-E124</f>
        <v>51055.32</v>
      </c>
      <c r="F125" s="199">
        <f t="shared" si="27"/>
        <v>43163.43</v>
      </c>
      <c r="G125" s="199">
        <f t="shared" si="27"/>
        <v>37202.01</v>
      </c>
      <c r="H125" s="1"/>
      <c r="I125" s="1"/>
      <c r="J125" s="244"/>
      <c r="K125" s="243"/>
      <c r="L125" s="243"/>
      <c r="M125" s="243"/>
      <c r="N125" s="243"/>
      <c r="O125" s="243"/>
    </row>
    <row r="126" spans="2:15">
      <c r="B126" s="25"/>
      <c r="C126" s="36" t="s">
        <v>267</v>
      </c>
      <c r="D126" s="199" t="b">
        <f>D121=(D124+D125)</f>
        <v>1</v>
      </c>
      <c r="E126" s="199" t="b">
        <f t="shared" ref="E126:G126" si="28">E121=(E124+E125)</f>
        <v>1</v>
      </c>
      <c r="F126" s="199" t="b">
        <f t="shared" si="28"/>
        <v>1</v>
      </c>
      <c r="G126" s="199" t="b">
        <f t="shared" si="28"/>
        <v>1</v>
      </c>
      <c r="H126" s="1"/>
      <c r="I126" s="1"/>
      <c r="J126" s="244"/>
      <c r="K126" s="243"/>
      <c r="L126" s="243"/>
      <c r="M126" s="243"/>
      <c r="N126" s="243"/>
      <c r="O126" s="243"/>
    </row>
    <row r="127" spans="2:15">
      <c r="J127" s="244"/>
      <c r="K127" s="243"/>
      <c r="L127" s="243"/>
      <c r="M127" s="243"/>
      <c r="N127" s="243"/>
      <c r="O127" s="243"/>
    </row>
  </sheetData>
  <mergeCells count="12">
    <mergeCell ref="J1:O1"/>
    <mergeCell ref="J2:O55"/>
    <mergeCell ref="B57:G57"/>
    <mergeCell ref="J57:O127"/>
    <mergeCell ref="B58:G58"/>
    <mergeCell ref="B59:G59"/>
    <mergeCell ref="J56:O56"/>
    <mergeCell ref="B2:G2"/>
    <mergeCell ref="B3:G3"/>
    <mergeCell ref="B4:G4"/>
    <mergeCell ref="B105:I105"/>
    <mergeCell ref="B106:I107"/>
  </mergeCells>
  <phoneticPr fontId="2" type="noConversion"/>
  <pageMargins left="0.75" right="0.75" top="1" bottom="1" header="0.5" footer="0.5"/>
  <headerFooter alignWithMargins="0"/>
  <rowBreaks count="1" manualBreakCount="1">
    <brk id="55" max="10" man="1"/>
  </rowBreak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8" tint="0.59999389629810485"/>
  </sheetPr>
  <dimension ref="A1:O146"/>
  <sheetViews>
    <sheetView tabSelected="1" topLeftCell="A26" zoomScale="125" zoomScaleNormal="125" zoomScalePageLayoutView="125" workbookViewId="0">
      <selection activeCell="E49" sqref="E49"/>
    </sheetView>
  </sheetViews>
  <sheetFormatPr baseColWidth="10" defaultColWidth="8.83203125" defaultRowHeight="12" x14ac:dyDescent="0"/>
  <cols>
    <col min="1" max="1" width="2" style="12" customWidth="1"/>
    <col min="2" max="2" width="42.5" style="4" customWidth="1"/>
    <col min="3" max="3" width="65.33203125" style="4" bestFit="1" customWidth="1"/>
    <col min="4" max="6" width="21.33203125" style="4" bestFit="1" customWidth="1"/>
    <col min="7" max="7" width="21.33203125" style="44" bestFit="1" customWidth="1"/>
    <col min="8" max="9" width="9.1640625" customWidth="1"/>
    <col min="10" max="10" width="10.1640625" style="4" customWidth="1"/>
    <col min="11" max="11" width="11.1640625" style="4" customWidth="1"/>
    <col min="12" max="12" width="10.5" style="4" customWidth="1"/>
    <col min="13" max="13" width="11.5" style="4" customWidth="1"/>
    <col min="14" max="18" width="8.83203125" style="4"/>
    <col min="19" max="19" width="10.1640625" style="4" bestFit="1" customWidth="1"/>
    <col min="20" max="16384" width="8.83203125" style="4"/>
  </cols>
  <sheetData>
    <row r="1" spans="1:15" customFormat="1" ht="16">
      <c r="A1" s="12"/>
      <c r="B1" s="12"/>
      <c r="C1" s="12"/>
      <c r="D1" s="12"/>
      <c r="E1" s="12"/>
      <c r="F1" s="12"/>
      <c r="G1" s="35"/>
      <c r="H1" s="12"/>
      <c r="I1" s="12"/>
      <c r="J1" s="230" t="s">
        <v>59</v>
      </c>
      <c r="K1" s="231"/>
      <c r="L1" s="231"/>
      <c r="M1" s="231"/>
      <c r="N1" s="231"/>
      <c r="O1" s="231"/>
    </row>
    <row r="2" spans="1:15" s="3" customFormat="1" ht="20" customHeight="1">
      <c r="A2" s="12"/>
      <c r="B2" s="234" t="str">
        <f>+'Financial Statements'!C2</f>
        <v>Altium Limited</v>
      </c>
      <c r="C2" s="241"/>
      <c r="D2" s="241"/>
      <c r="E2" s="241"/>
      <c r="F2" s="241"/>
      <c r="G2" s="241"/>
      <c r="H2" s="12"/>
      <c r="I2" s="12"/>
      <c r="J2" s="232" t="s">
        <v>79</v>
      </c>
      <c r="K2" s="243"/>
      <c r="L2" s="243"/>
      <c r="M2" s="243"/>
      <c r="N2" s="243"/>
      <c r="O2" s="243"/>
    </row>
    <row r="3" spans="1:15" s="3" customFormat="1" ht="20" customHeight="1">
      <c r="A3" s="12"/>
      <c r="B3" s="236" t="s">
        <v>67</v>
      </c>
      <c r="C3" s="245"/>
      <c r="D3" s="245"/>
      <c r="E3" s="245"/>
      <c r="F3" s="245"/>
      <c r="G3" s="245"/>
      <c r="H3" s="12"/>
      <c r="I3" s="12"/>
      <c r="J3" s="244"/>
      <c r="K3" s="243"/>
      <c r="L3" s="243"/>
      <c r="M3" s="243"/>
      <c r="N3" s="243"/>
      <c r="O3" s="243"/>
    </row>
    <row r="4" spans="1:15" s="3" customFormat="1" ht="18" customHeight="1" thickBot="1">
      <c r="A4" s="12"/>
      <c r="B4" s="237" t="str">
        <f>+'Financial Statements'!C4</f>
        <v>Years ended 30 June</v>
      </c>
      <c r="C4" s="246"/>
      <c r="D4" s="246"/>
      <c r="E4" s="246"/>
      <c r="F4" s="246"/>
      <c r="G4" s="246"/>
      <c r="H4" s="12"/>
      <c r="I4" s="12"/>
      <c r="J4" s="244"/>
      <c r="K4" s="243"/>
      <c r="L4" s="243"/>
      <c r="M4" s="243"/>
      <c r="N4" s="243"/>
      <c r="O4" s="243"/>
    </row>
    <row r="5" spans="1:15" s="3" customFormat="1" ht="15" customHeight="1">
      <c r="A5" s="12"/>
      <c r="B5" s="10"/>
      <c r="C5" s="13"/>
      <c r="D5" s="40">
        <v>2019</v>
      </c>
      <c r="E5" s="40">
        <v>2018</v>
      </c>
      <c r="F5" s="40">
        <v>2017</v>
      </c>
      <c r="G5" s="40">
        <f>+'Financial Statements'!G5</f>
        <v>2016</v>
      </c>
      <c r="H5" s="12"/>
      <c r="I5" s="12"/>
      <c r="J5" s="244"/>
      <c r="K5" s="243"/>
      <c r="L5" s="243"/>
      <c r="M5" s="243"/>
      <c r="N5" s="243"/>
      <c r="O5" s="243"/>
    </row>
    <row r="6" spans="1:15" s="3" customFormat="1" ht="15" customHeight="1">
      <c r="A6" s="12"/>
      <c r="B6" s="45" t="s">
        <v>21</v>
      </c>
      <c r="C6" s="46"/>
      <c r="D6" s="47"/>
      <c r="E6" s="46"/>
      <c r="F6" s="46"/>
      <c r="G6" s="46"/>
      <c r="H6" s="12"/>
      <c r="I6" s="12"/>
      <c r="J6" s="244"/>
      <c r="K6" s="243"/>
      <c r="L6" s="243"/>
      <c r="M6" s="243"/>
      <c r="N6" s="243"/>
      <c r="O6" s="243"/>
    </row>
    <row r="7" spans="1:15" s="3" customFormat="1" ht="15" customHeight="1">
      <c r="A7" s="12"/>
      <c r="B7" s="106" t="s">
        <v>22</v>
      </c>
      <c r="C7" s="107" t="s">
        <v>88</v>
      </c>
      <c r="D7" s="202">
        <f>'Financial Statements'!D33/'Financial Statements'!D11</f>
        <v>0.30617879966657408</v>
      </c>
      <c r="E7" s="202">
        <f>'Financial Statements'!E33/'Financial Statements'!E11</f>
        <v>0.26707654166191724</v>
      </c>
      <c r="F7" s="202">
        <f>'Financial Statements'!F33/'Financial Statements'!F11</f>
        <v>0.25304397198914896</v>
      </c>
      <c r="G7" s="202">
        <f>'Financial Statements'!G33/'Financial Statements'!G11</f>
        <v>0.24568031675898355</v>
      </c>
      <c r="H7" s="12"/>
      <c r="I7" s="12"/>
      <c r="J7" s="244"/>
      <c r="K7" s="243"/>
      <c r="L7" s="243"/>
      <c r="M7" s="243"/>
      <c r="N7" s="243"/>
      <c r="O7" s="243"/>
    </row>
    <row r="8" spans="1:15" s="3" customFormat="1" ht="15" customHeight="1">
      <c r="A8" s="12"/>
      <c r="B8" s="108" t="s">
        <v>23</v>
      </c>
      <c r="C8" s="109" t="s">
        <v>89</v>
      </c>
      <c r="D8" s="203">
        <f>'Financial Statements'!D33/'Financial Statements'!D67</f>
        <v>0.19031324885041342</v>
      </c>
      <c r="E8" s="203">
        <f>'Financial Statements'!E33/'Financial Statements'!E67</f>
        <v>0.16021556384647273</v>
      </c>
      <c r="F8" s="203">
        <f>'Financial Statements'!F33/'Financial Statements'!F67</f>
        <v>0.13319512704225886</v>
      </c>
      <c r="G8" s="203">
        <f>'Financial Statements'!G33/'Financial Statements'!G67</f>
        <v>0.11722648850141568</v>
      </c>
      <c r="H8" s="12"/>
      <c r="I8" s="12"/>
      <c r="J8" s="244"/>
      <c r="K8" s="243"/>
      <c r="L8" s="243"/>
      <c r="M8" s="243"/>
      <c r="N8" s="243"/>
      <c r="O8" s="243"/>
    </row>
    <row r="9" spans="1:15" s="37" customFormat="1" ht="7" customHeight="1">
      <c r="A9" s="12"/>
      <c r="B9" s="10"/>
      <c r="C9" s="13"/>
      <c r="D9" s="10"/>
      <c r="E9" s="13"/>
      <c r="F9" s="13"/>
      <c r="G9" s="41"/>
      <c r="H9" s="12"/>
      <c r="I9" s="12"/>
      <c r="J9" s="244"/>
      <c r="K9" s="243"/>
      <c r="L9" s="243"/>
      <c r="M9" s="243"/>
      <c r="N9" s="243"/>
      <c r="O9" s="243"/>
    </row>
    <row r="10" spans="1:15" s="3" customFormat="1" ht="15" customHeight="1">
      <c r="A10" s="12"/>
      <c r="B10" s="45" t="s">
        <v>24</v>
      </c>
      <c r="C10" s="46"/>
      <c r="D10" s="47"/>
      <c r="E10" s="46"/>
      <c r="F10" s="46"/>
      <c r="G10" s="46"/>
      <c r="H10" s="12"/>
      <c r="I10" s="12"/>
      <c r="J10" s="244"/>
      <c r="K10" s="243"/>
      <c r="L10" s="243"/>
      <c r="M10" s="243"/>
      <c r="N10" s="243"/>
      <c r="O10" s="243"/>
    </row>
    <row r="11" spans="1:15" s="3" customFormat="1" ht="15" customHeight="1">
      <c r="A11" s="12"/>
      <c r="B11" s="93" t="s">
        <v>25</v>
      </c>
      <c r="C11" s="94" t="s">
        <v>90</v>
      </c>
      <c r="D11" s="204">
        <f>'Financial Statements'!D11/'Financial Statements'!D67</f>
        <v>0.62157552729863341</v>
      </c>
      <c r="E11" s="204">
        <f>'Financial Statements'!E11/'Financial Statements'!E67</f>
        <v>0.599886320414033</v>
      </c>
      <c r="F11" s="204">
        <f>'Financial Statements'!F11/'Financial Statements'!F67</f>
        <v>0.52637146814930069</v>
      </c>
      <c r="G11" s="204">
        <f>'Financial Statements'!G11/'Financial Statements'!G67</f>
        <v>0.47715051025604466</v>
      </c>
      <c r="H11" s="12"/>
      <c r="I11" s="12"/>
      <c r="J11" s="244"/>
      <c r="K11" s="243"/>
      <c r="L11" s="243"/>
      <c r="M11" s="243"/>
      <c r="N11" s="243"/>
      <c r="O11" s="243"/>
    </row>
    <row r="12" spans="1:15" s="3" customFormat="1" ht="15" customHeight="1">
      <c r="A12" s="12"/>
      <c r="B12" s="7" t="s">
        <v>26</v>
      </c>
      <c r="C12" s="23" t="s">
        <v>91</v>
      </c>
      <c r="D12" s="8">
        <f>'Financial Statements'!D11/'Financial Statements'!D58</f>
        <v>1.3139832055494707</v>
      </c>
      <c r="E12" s="8">
        <f>'Financial Statements'!E11/'Financial Statements'!E58</f>
        <v>1.4709155497804651</v>
      </c>
      <c r="F12" s="8">
        <f>'Financial Statements'!F11/'Financial Statements'!F58</f>
        <v>1.3903340600957321</v>
      </c>
      <c r="G12" s="8">
        <f>'Financial Statements'!G11/'Financial Statements'!G58</f>
        <v>1.3367811336367397</v>
      </c>
      <c r="H12" s="12"/>
      <c r="I12" s="12"/>
      <c r="J12" s="244"/>
      <c r="K12" s="243"/>
      <c r="L12" s="243"/>
      <c r="M12" s="243"/>
      <c r="N12" s="243"/>
      <c r="O12" s="243"/>
    </row>
    <row r="13" spans="1:15" s="3" customFormat="1" ht="7" customHeight="1">
      <c r="A13" s="12"/>
      <c r="B13" s="21"/>
      <c r="C13" s="38"/>
      <c r="D13" s="38"/>
      <c r="E13" s="38"/>
      <c r="F13" s="38"/>
      <c r="G13" s="42"/>
      <c r="H13" s="12"/>
      <c r="I13" s="12"/>
      <c r="J13" s="244"/>
      <c r="K13" s="243"/>
      <c r="L13" s="243"/>
      <c r="M13" s="243"/>
      <c r="N13" s="243"/>
      <c r="O13" s="243"/>
    </row>
    <row r="14" spans="1:15" s="3" customFormat="1" ht="15" customHeight="1">
      <c r="A14" s="12"/>
      <c r="B14" s="45" t="s">
        <v>27</v>
      </c>
      <c r="C14" s="46"/>
      <c r="D14" s="47"/>
      <c r="E14" s="46"/>
      <c r="F14" s="46"/>
      <c r="G14" s="46"/>
      <c r="H14" s="12"/>
      <c r="I14" s="12"/>
      <c r="J14" s="244"/>
      <c r="K14" s="243"/>
      <c r="L14" s="243"/>
      <c r="M14" s="243"/>
      <c r="N14" s="243"/>
      <c r="O14" s="243"/>
    </row>
    <row r="15" spans="1:15" s="3" customFormat="1" ht="15" customHeight="1">
      <c r="A15" s="12"/>
      <c r="B15" s="93" t="s">
        <v>28</v>
      </c>
      <c r="C15" s="94" t="s">
        <v>92</v>
      </c>
      <c r="D15" s="205">
        <f>'Financial Statements'!D58/'Financial Statements'!D77</f>
        <v>1.8166894664842681</v>
      </c>
      <c r="E15" s="205">
        <f>'Financial Statements'!E58/'Financial Statements'!E77</f>
        <v>1.498288639075551</v>
      </c>
      <c r="F15" s="205">
        <f>'Financial Statements'!F58/'Financial Statements'!F77</f>
        <v>1.3946490047708089</v>
      </c>
      <c r="G15" s="205">
        <f>'Financial Statements'!G58/'Financial Statements'!G77</f>
        <v>1.5336629980526442</v>
      </c>
      <c r="H15" s="12"/>
      <c r="I15" s="12"/>
      <c r="J15" s="230" t="s">
        <v>65</v>
      </c>
      <c r="K15" s="231"/>
      <c r="L15" s="231"/>
      <c r="M15" s="231"/>
      <c r="N15" s="231"/>
      <c r="O15" s="231"/>
    </row>
    <row r="16" spans="1:15" s="3" customFormat="1" ht="15" customHeight="1">
      <c r="A16" s="12"/>
      <c r="B16" s="10" t="s">
        <v>56</v>
      </c>
      <c r="C16" s="23" t="s">
        <v>93</v>
      </c>
      <c r="D16" s="206">
        <f>('Financial Statements'!D58-'Financial Statements'!D55-0)/'Financial Statements'!D77</f>
        <v>1.806270640743965</v>
      </c>
      <c r="E16" s="206">
        <f>('Financial Statements'!E58-'Financial Statements'!E55-0)/'Financial Statements'!E77</f>
        <v>1.498288639075551</v>
      </c>
      <c r="F16" s="206">
        <f>('Financial Statements'!F58-'Financial Statements'!F55-0)/'Financial Statements'!F77</f>
        <v>1.3946490047708089</v>
      </c>
      <c r="G16" s="206">
        <f>('Financial Statements'!G58-'Financial Statements'!G55-0)/'Financial Statements'!G77</f>
        <v>1.5336629980526442</v>
      </c>
      <c r="H16" s="12"/>
      <c r="I16" s="12"/>
      <c r="J16" s="242" t="s">
        <v>74</v>
      </c>
      <c r="K16" s="243"/>
      <c r="L16" s="243"/>
      <c r="M16" s="243"/>
      <c r="N16" s="243"/>
      <c r="O16" s="243"/>
    </row>
    <row r="17" spans="1:15" s="3" customFormat="1" ht="15" customHeight="1">
      <c r="A17" s="12"/>
      <c r="B17" s="93" t="s">
        <v>57</v>
      </c>
      <c r="C17" s="94" t="s">
        <v>94</v>
      </c>
      <c r="D17" s="205">
        <f>('Financial Statements'!D58-'Financial Statements'!D55-0-'Financial Statements'!D54)/'Financial Statements'!D77</f>
        <v>1.1729469800605232</v>
      </c>
      <c r="E17" s="205">
        <f>('Financial Statements'!E58-'Financial Statements'!E55-0-'Financial Statements'!E54)/'Financial Statements'!E77</f>
        <v>0.88912265276643854</v>
      </c>
      <c r="F17" s="205">
        <f>('Financial Statements'!F58-'Financial Statements'!F55-0-'Financial Statements'!F54)/'Financial Statements'!F77</f>
        <v>0.82440627020603607</v>
      </c>
      <c r="G17" s="205">
        <f>('Financial Statements'!G58-'Financial Statements'!G55-0-'Financial Statements'!G54)/'Financial Statements'!G77</f>
        <v>0.8807518106032427</v>
      </c>
      <c r="H17" s="12"/>
      <c r="I17" s="12"/>
      <c r="J17" s="244"/>
      <c r="K17" s="243"/>
      <c r="L17" s="243"/>
      <c r="M17" s="243"/>
      <c r="N17" s="243"/>
      <c r="O17" s="243"/>
    </row>
    <row r="18" spans="1:15" s="3" customFormat="1" ht="7" customHeight="1">
      <c r="A18" s="12"/>
      <c r="B18" s="21"/>
      <c r="C18" s="38"/>
      <c r="D18" s="38"/>
      <c r="E18" s="38"/>
      <c r="F18" s="38"/>
      <c r="G18" s="42"/>
      <c r="H18" s="12"/>
      <c r="I18" s="12"/>
      <c r="J18" s="244"/>
      <c r="K18" s="243"/>
      <c r="L18" s="243"/>
      <c r="M18" s="243"/>
      <c r="N18" s="243"/>
      <c r="O18" s="243"/>
    </row>
    <row r="19" spans="1:15" s="3" customFormat="1" ht="15" customHeight="1">
      <c r="A19" s="12"/>
      <c r="B19" s="45" t="s">
        <v>29</v>
      </c>
      <c r="C19" s="46"/>
      <c r="D19" s="47"/>
      <c r="E19" s="46"/>
      <c r="F19" s="46"/>
      <c r="G19" s="46"/>
      <c r="H19" s="12"/>
      <c r="I19" s="12"/>
      <c r="J19" s="244"/>
      <c r="K19" s="243"/>
      <c r="L19" s="243"/>
      <c r="M19" s="243"/>
      <c r="N19" s="243"/>
      <c r="O19" s="243"/>
    </row>
    <row r="20" spans="1:15" s="3" customFormat="1" ht="15" customHeight="1">
      <c r="A20" s="12"/>
      <c r="B20" s="93" t="s">
        <v>30</v>
      </c>
      <c r="C20" s="94" t="s">
        <v>95</v>
      </c>
      <c r="D20" s="204">
        <f>'Financial Statements'!D87/'Financial Statements'!D95</f>
        <v>0.50590058409822392</v>
      </c>
      <c r="E20" s="204">
        <f>'Financial Statements'!E87/'Financial Statements'!E95</f>
        <v>0.5331005202259117</v>
      </c>
      <c r="F20" s="204">
        <f>'Financial Statements'!F87/'Financial Statements'!F95</f>
        <v>0.50609451136737116</v>
      </c>
      <c r="G20" s="204">
        <f>'Financial Statements'!G87/'Financial Statements'!G95</f>
        <v>0.50137237661990142</v>
      </c>
      <c r="H20" s="12"/>
      <c r="I20" s="12"/>
      <c r="J20" s="244"/>
      <c r="K20" s="243"/>
      <c r="L20" s="243"/>
      <c r="M20" s="243"/>
      <c r="N20" s="243"/>
      <c r="O20" s="243"/>
    </row>
    <row r="21" spans="1:15" s="3" customFormat="1" ht="15" customHeight="1">
      <c r="A21" s="12"/>
      <c r="B21" s="10" t="s">
        <v>31</v>
      </c>
      <c r="C21" s="23" t="s">
        <v>96</v>
      </c>
      <c r="D21" s="207">
        <f>'Financial Statements'!D95/'Financial Statements'!D67</f>
        <v>0.66405446053985595</v>
      </c>
      <c r="E21" s="207">
        <f>'Financial Statements'!E95/'Financial Statements'!E67</f>
        <v>0.65227295066904278</v>
      </c>
      <c r="F21" s="207">
        <f>'Financial Statements'!F95/'Financial Statements'!F67</f>
        <v>0.66396895576766157</v>
      </c>
      <c r="G21" s="207">
        <f>'Financial Statements'!G95/'Financial Statements'!G67</f>
        <v>0.66605727904181855</v>
      </c>
      <c r="H21" s="12"/>
      <c r="I21" s="12"/>
      <c r="J21" s="244"/>
      <c r="K21" s="243"/>
      <c r="L21" s="243"/>
      <c r="M21" s="243"/>
      <c r="N21" s="243"/>
      <c r="O21" s="243"/>
    </row>
    <row r="22" spans="1:15" s="3" customFormat="1" ht="15" customHeight="1">
      <c r="A22" s="12"/>
      <c r="B22" s="93" t="s">
        <v>32</v>
      </c>
      <c r="C22" s="94" t="s">
        <v>97</v>
      </c>
      <c r="D22" s="215">
        <f>('Financial Statements'!D31+'Financial Statements'!D24)/-'Financial Statements'!D24</f>
        <v>57611</v>
      </c>
      <c r="E22" s="215">
        <f>('Financial Statements'!E31+'Financial Statements'!E24)/-'Financial Statements'!E24</f>
        <v>19850.5</v>
      </c>
      <c r="F22" s="215">
        <f>('Financial Statements'!F31+'Financial Statements'!F24)/-'Financial Statements'!F24</f>
        <v>7367</v>
      </c>
      <c r="G22" s="215">
        <f>('Financial Statements'!G31+'Financial Statements'!G24)/-'Financial Statements'!G24</f>
        <v>702.14285714285711</v>
      </c>
      <c r="H22" s="12"/>
      <c r="I22" s="12"/>
      <c r="J22" s="244"/>
      <c r="K22" s="243"/>
      <c r="L22" s="243"/>
      <c r="M22" s="243"/>
      <c r="N22" s="243"/>
      <c r="O22" s="243"/>
    </row>
    <row r="23" spans="1:15" s="3" customFormat="1" ht="7" customHeight="1">
      <c r="A23" s="12"/>
      <c r="B23" s="21"/>
      <c r="C23" s="38"/>
      <c r="D23" s="38"/>
      <c r="E23" s="38"/>
      <c r="F23" s="38"/>
      <c r="G23" s="42"/>
      <c r="H23" s="12"/>
      <c r="I23" s="12"/>
      <c r="J23" s="244"/>
      <c r="K23" s="243"/>
      <c r="L23" s="243"/>
      <c r="M23" s="243"/>
      <c r="N23" s="243"/>
      <c r="O23" s="243"/>
    </row>
    <row r="24" spans="1:15" s="3" customFormat="1" ht="15" customHeight="1">
      <c r="A24" s="12"/>
      <c r="B24" s="45" t="s">
        <v>33</v>
      </c>
      <c r="C24" s="46"/>
      <c r="D24" s="47"/>
      <c r="E24" s="46"/>
      <c r="F24" s="46"/>
      <c r="G24" s="46"/>
      <c r="H24" s="12"/>
      <c r="I24" s="12"/>
      <c r="J24" s="244"/>
      <c r="K24" s="243"/>
      <c r="L24" s="243"/>
      <c r="M24" s="243"/>
      <c r="N24" s="243"/>
      <c r="O24" s="243"/>
    </row>
    <row r="25" spans="1:15" s="3" customFormat="1" ht="15" customHeight="1">
      <c r="A25" s="12"/>
      <c r="B25" s="93" t="s">
        <v>34</v>
      </c>
      <c r="C25" s="94" t="s">
        <v>98</v>
      </c>
      <c r="D25" s="220">
        <f>'Financial Statements'!D33/Ratios!D60</f>
        <v>0.40527456265508882</v>
      </c>
      <c r="E25" s="220">
        <f>'Financial Statements'!E33/Ratios!E60</f>
        <v>0.28774622319745902</v>
      </c>
      <c r="F25" s="220">
        <f>'Financial Statements'!F33/Ratios!F60</f>
        <v>0.21561897401815555</v>
      </c>
      <c r="G25" s="220">
        <f>'Financial Statements'!G33/Ratios!G60</f>
        <v>0.17678344488007766</v>
      </c>
      <c r="H25" s="12"/>
      <c r="I25" s="12"/>
      <c r="J25" s="244"/>
      <c r="K25" s="243"/>
      <c r="L25" s="243"/>
      <c r="M25" s="243"/>
      <c r="N25" s="243"/>
      <c r="O25" s="243"/>
    </row>
    <row r="26" spans="1:15" s="3" customFormat="1" ht="15" customHeight="1">
      <c r="A26" s="12"/>
      <c r="B26" s="10" t="s">
        <v>35</v>
      </c>
      <c r="C26" s="23" t="s">
        <v>99</v>
      </c>
      <c r="D26" s="221">
        <f>D63/D60</f>
        <v>0.215521201262215</v>
      </c>
      <c r="E26" s="221">
        <f t="shared" ref="E26:G26" si="0">E63/E60</f>
        <v>0.19674568377978785</v>
      </c>
      <c r="F26" s="221">
        <f t="shared" si="0"/>
        <v>0.15966570818860534</v>
      </c>
      <c r="G26" s="221">
        <f t="shared" si="0"/>
        <v>0.13539830220159207</v>
      </c>
      <c r="H26" s="12"/>
      <c r="I26" s="12"/>
      <c r="J26" s="244"/>
      <c r="K26" s="243"/>
      <c r="L26" s="243"/>
      <c r="M26" s="243"/>
      <c r="N26" s="243"/>
      <c r="O26" s="243"/>
    </row>
    <row r="27" spans="1:15" s="3" customFormat="1" ht="15" customHeight="1">
      <c r="A27" s="12"/>
      <c r="B27" s="93" t="s">
        <v>36</v>
      </c>
      <c r="C27" s="94" t="s">
        <v>100</v>
      </c>
      <c r="D27" s="220">
        <f>D26/D61</f>
        <v>6.301789510591081E-3</v>
      </c>
      <c r="E27" s="220">
        <f t="shared" ref="E27:G27" si="1">E26/E61</f>
        <v>8.7403680044330443E-3</v>
      </c>
      <c r="F27" s="220">
        <f t="shared" si="1"/>
        <v>1.8630771083851264E-2</v>
      </c>
      <c r="G27" s="220">
        <f t="shared" si="1"/>
        <v>2.0959489504890415E-2</v>
      </c>
      <c r="H27" s="12"/>
      <c r="I27" s="12"/>
      <c r="J27" s="244"/>
      <c r="K27" s="243"/>
      <c r="L27" s="243"/>
      <c r="M27" s="243"/>
      <c r="N27" s="243"/>
      <c r="O27" s="243"/>
    </row>
    <row r="28" spans="1:15" s="3" customFormat="1" ht="15" customHeight="1">
      <c r="A28" s="12"/>
      <c r="B28" s="7" t="s">
        <v>37</v>
      </c>
      <c r="C28" s="23" t="s">
        <v>101</v>
      </c>
      <c r="D28" s="206">
        <f>D61/D25</f>
        <v>84.387235596392713</v>
      </c>
      <c r="E28" s="206">
        <f t="shared" ref="E28:G28" si="2">E61/E25</f>
        <v>78.228654923310842</v>
      </c>
      <c r="F28" s="206">
        <f t="shared" si="2"/>
        <v>39.746038302169033</v>
      </c>
      <c r="G28" s="206">
        <f t="shared" si="2"/>
        <v>36.541883231103391</v>
      </c>
      <c r="H28" s="12"/>
      <c r="I28" s="12"/>
      <c r="J28" s="244"/>
      <c r="K28" s="243"/>
      <c r="L28" s="243"/>
      <c r="M28" s="243"/>
      <c r="N28" s="243"/>
      <c r="O28" s="243"/>
    </row>
    <row r="29" spans="1:15" s="3" customFormat="1" ht="15" customHeight="1">
      <c r="A29" s="12"/>
      <c r="B29" s="93" t="s">
        <v>38</v>
      </c>
      <c r="C29" s="94" t="s">
        <v>102</v>
      </c>
      <c r="D29" s="205">
        <f>'Financial Statements'!D89/Ratios!D60</f>
        <v>1.4141126942033517</v>
      </c>
      <c r="E29" s="205">
        <f>'Financial Statements'!E89/Ratios!E60</f>
        <v>1.1714784353206376</v>
      </c>
      <c r="F29" s="205">
        <f>'Financial Statements'!F89/Ratios!F60</f>
        <v>1.0748464166944149</v>
      </c>
      <c r="G29" s="205">
        <f>'Financial Statements'!G89/Ratios!G60</f>
        <v>1.0044479006555065</v>
      </c>
      <c r="H29" s="12"/>
      <c r="I29" s="12"/>
      <c r="J29" s="244"/>
      <c r="K29" s="243"/>
      <c r="L29" s="243"/>
      <c r="M29" s="243"/>
      <c r="N29" s="243"/>
      <c r="O29" s="243"/>
    </row>
    <row r="30" spans="1:15" s="3" customFormat="1" ht="15" customHeight="1">
      <c r="A30" s="12"/>
      <c r="B30" s="10" t="s">
        <v>39</v>
      </c>
      <c r="C30" s="23" t="s">
        <v>103</v>
      </c>
      <c r="D30" s="206">
        <f>D61/D29</f>
        <v>24.184776885315188</v>
      </c>
      <c r="E30" s="206">
        <f t="shared" ref="E30:G30" si="3">E61/E29</f>
        <v>19.215035737161426</v>
      </c>
      <c r="F30" s="206">
        <f t="shared" si="3"/>
        <v>7.9732321445106527</v>
      </c>
      <c r="G30" s="206">
        <f t="shared" si="3"/>
        <v>6.4313937993042538</v>
      </c>
      <c r="H30" s="12"/>
      <c r="I30" s="12"/>
      <c r="J30" s="244"/>
      <c r="K30" s="243"/>
      <c r="L30" s="243"/>
      <c r="M30" s="243"/>
      <c r="N30" s="243"/>
      <c r="O30" s="243"/>
    </row>
    <row r="31" spans="1:15" s="3" customFormat="1" ht="7" customHeight="1">
      <c r="A31" s="12"/>
      <c r="B31" s="10"/>
      <c r="C31" s="23"/>
      <c r="D31" s="23"/>
      <c r="E31" s="23"/>
      <c r="F31" s="23"/>
      <c r="G31" s="34"/>
      <c r="H31" s="12"/>
      <c r="I31" s="12"/>
      <c r="J31" s="244"/>
      <c r="K31" s="243"/>
      <c r="L31" s="243"/>
      <c r="M31" s="243"/>
      <c r="N31" s="243"/>
      <c r="O31" s="243"/>
    </row>
    <row r="32" spans="1:15" s="3" customFormat="1" ht="15" customHeight="1">
      <c r="A32" s="12"/>
      <c r="B32" s="45" t="s">
        <v>41</v>
      </c>
      <c r="C32" s="46"/>
      <c r="D32" s="47"/>
      <c r="E32" s="46"/>
      <c r="F32" s="46"/>
      <c r="G32" s="46"/>
      <c r="H32" s="12"/>
      <c r="I32" s="12"/>
      <c r="J32" s="244"/>
      <c r="K32" s="243"/>
      <c r="L32" s="243"/>
      <c r="M32" s="243"/>
      <c r="N32" s="243"/>
      <c r="O32" s="243"/>
    </row>
    <row r="33" spans="1:15" s="3" customFormat="1" ht="15" customHeight="1">
      <c r="A33" s="12"/>
      <c r="B33" s="93" t="s">
        <v>40</v>
      </c>
      <c r="C33" s="94" t="s">
        <v>109</v>
      </c>
      <c r="D33" s="205">
        <f>D63/'Restated Financial Statements'!D54</f>
        <v>0.53532277710109621</v>
      </c>
      <c r="E33" s="205">
        <f>E63/'Restated Financial Statements'!E54</f>
        <v>0.7051137457706379</v>
      </c>
      <c r="F33" s="205">
        <f>F63/'Restated Financial Statements'!F54</f>
        <v>0.74717889743405452</v>
      </c>
      <c r="G33" s="205">
        <f>G63/'Restated Financial Statements'!G54</f>
        <v>0.77526163046345964</v>
      </c>
      <c r="H33" s="12"/>
      <c r="I33" s="12"/>
      <c r="J33" s="244"/>
      <c r="K33" s="243"/>
      <c r="L33" s="243"/>
      <c r="M33" s="243"/>
      <c r="N33" s="243"/>
      <c r="O33" s="243"/>
    </row>
    <row r="34" spans="1:15" s="3" customFormat="1" ht="15" customHeight="1">
      <c r="A34" s="12"/>
      <c r="B34" s="10" t="s">
        <v>46</v>
      </c>
      <c r="C34" s="23" t="s">
        <v>114</v>
      </c>
      <c r="D34" s="203">
        <f>'Restated Financial Statements'!D54/'Restated Financial Statements'!D100</f>
        <v>0.28470182815158379</v>
      </c>
      <c r="E34" s="203">
        <f>'Restated Financial Statements'!E54/'Restated Financial Statements'!E100</f>
        <v>0.23818353360502142</v>
      </c>
      <c r="F34" s="203">
        <f>'Restated Financial Statements'!F54/'Restated Financial Statements'!F100</f>
        <v>0.19881110587159373</v>
      </c>
      <c r="G34" s="203">
        <f>'Restated Financial Statements'!G54/'Restated Financial Statements'!G100</f>
        <v>0.17387514813257388</v>
      </c>
      <c r="H34" s="12"/>
      <c r="I34" s="12"/>
      <c r="J34" s="244"/>
      <c r="K34" s="243"/>
      <c r="L34" s="243"/>
      <c r="M34" s="243"/>
      <c r="N34" s="243"/>
      <c r="O34" s="243"/>
    </row>
    <row r="35" spans="1:15" s="3" customFormat="1" ht="15" customHeight="1">
      <c r="A35" s="12"/>
      <c r="B35" s="93" t="s">
        <v>45</v>
      </c>
      <c r="C35" s="94" t="s">
        <v>87</v>
      </c>
      <c r="D35" s="204">
        <f>'Restated Financial Statements'!D39/'Restated Financial Statements'!D83</f>
        <v>0.49199693781410009</v>
      </c>
      <c r="E35" s="204">
        <f>'Restated Financial Statements'!E39/'Restated Financial Statements'!E83</f>
        <v>0.34002952636293121</v>
      </c>
      <c r="F35" s="204">
        <f>'Restated Financial Statements'!F39/'Restated Financial Statements'!F83</f>
        <v>0.27027252804510099</v>
      </c>
      <c r="G35" s="204">
        <f>'Restated Financial Statements'!G39/'Restated Financial Statements'!G83</f>
        <v>0.23751903952145695</v>
      </c>
      <c r="H35" s="12"/>
      <c r="I35" s="12"/>
      <c r="J35" s="244"/>
      <c r="K35" s="243"/>
      <c r="L35" s="243"/>
      <c r="M35" s="243"/>
      <c r="N35" s="243"/>
      <c r="O35" s="243"/>
    </row>
    <row r="36" spans="1:15" s="3" customFormat="1" ht="15" customHeight="1">
      <c r="A36" s="12"/>
      <c r="B36" s="7" t="s">
        <v>54</v>
      </c>
      <c r="C36" s="23" t="s">
        <v>115</v>
      </c>
      <c r="D36" s="203">
        <f>'Restated Financial Statements'!D53/'Restated Financial Statements'!D94</f>
        <v>6.5111337722648802E-3</v>
      </c>
      <c r="E36" s="203">
        <f>'Restated Financial Statements'!E53/'Restated Financial Statements'!E94</f>
        <v>1.9790215021773588E-3</v>
      </c>
      <c r="F36" s="203">
        <f>'Restated Financial Statements'!F53/'Restated Financial Statements'!F94</f>
        <v>5.6734630250958887E-5</v>
      </c>
      <c r="G36" s="203">
        <f>'Restated Financial Statements'!G53/'Restated Financial Statements'!G94</f>
        <v>-1.5681989923890651E-3</v>
      </c>
      <c r="H36" s="12"/>
      <c r="I36" s="12"/>
      <c r="J36" s="244"/>
      <c r="K36" s="243"/>
      <c r="L36" s="243"/>
      <c r="M36" s="243"/>
      <c r="N36" s="243"/>
      <c r="O36" s="243"/>
    </row>
    <row r="37" spans="1:15" s="3" customFormat="1" ht="15" customHeight="1">
      <c r="A37" s="12"/>
      <c r="B37" s="93" t="s">
        <v>48</v>
      </c>
      <c r="C37" s="94" t="s">
        <v>110</v>
      </c>
      <c r="D37" s="204">
        <f>'Restated Financial Statements'!D39/'Restated Financial Statements'!D10</f>
        <v>0.30282390189676345</v>
      </c>
      <c r="E37" s="204">
        <f>'Restated Financial Statements'!E39/'Restated Financial Statements'!E10</f>
        <v>0.25868907658943041</v>
      </c>
      <c r="F37" s="204">
        <f>'Restated Financial Statements'!F39/'Restated Financial Statements'!F10</f>
        <v>0.25097100076669826</v>
      </c>
      <c r="G37" s="204">
        <f>'Restated Financial Statements'!G39/'Restated Financial Statements'!G10</f>
        <v>0.24356122525294613</v>
      </c>
      <c r="H37" s="12"/>
      <c r="I37" s="12"/>
      <c r="J37" s="244"/>
      <c r="K37" s="243"/>
      <c r="L37" s="243"/>
      <c r="M37" s="243"/>
      <c r="N37" s="243"/>
      <c r="O37" s="243"/>
    </row>
    <row r="38" spans="1:15" s="3" customFormat="1" ht="15" customHeight="1">
      <c r="A38" s="12"/>
      <c r="B38" s="10" t="s">
        <v>43</v>
      </c>
      <c r="C38" s="23" t="s">
        <v>116</v>
      </c>
      <c r="D38" s="222">
        <f>'Restated Financial Statements'!D81/'Restated Financial Statements'!D83</f>
        <v>0.88287479343672504</v>
      </c>
      <c r="E38" s="222">
        <f>'Restated Financial Statements'!E81/'Restated Financial Statements'!E83</f>
        <v>0.71539166690421796</v>
      </c>
      <c r="F38" s="222">
        <f>'Restated Financial Statements'!F81/'Restated Financial Statements'!F83</f>
        <v>0.62832954677803465</v>
      </c>
      <c r="G38" s="222">
        <f>'Restated Financial Statements'!G81/'Restated Financial Statements'!G83</f>
        <v>0.65840095213496352</v>
      </c>
      <c r="H38" s="12"/>
      <c r="I38" s="12"/>
      <c r="J38" s="244"/>
      <c r="K38" s="243"/>
      <c r="L38" s="243"/>
      <c r="M38" s="243"/>
      <c r="N38" s="243"/>
      <c r="O38" s="243"/>
    </row>
    <row r="39" spans="1:15" s="3" customFormat="1" ht="15" customHeight="1">
      <c r="A39" s="12"/>
      <c r="B39" s="93" t="s">
        <v>42</v>
      </c>
      <c r="C39" s="94" t="s">
        <v>117</v>
      </c>
      <c r="D39" s="205">
        <f>'Restated Financial Statements'!D94/'Restated Financial Statements'!D100</f>
        <v>0.42698490447447413</v>
      </c>
      <c r="E39" s="205">
        <f>'Restated Financial Statements'!E94/'Restated Financial Statements'!E100</f>
        <v>0.30127448796404283</v>
      </c>
      <c r="F39" s="205">
        <f>'Restated Financial Statements'!F94/'Restated Financial Statements'!F100</f>
        <v>0.26446056786842143</v>
      </c>
      <c r="G39" s="205">
        <f>'Restated Financial Statements'!G94/'Restated Financial Statements'!G100</f>
        <v>0.26619526740318822</v>
      </c>
      <c r="H39" s="12"/>
      <c r="I39" s="12"/>
      <c r="J39" s="244"/>
      <c r="K39" s="243"/>
      <c r="L39" s="243"/>
      <c r="M39" s="243"/>
      <c r="N39" s="243"/>
      <c r="O39" s="243"/>
    </row>
    <row r="40" spans="1:15" s="3" customFormat="1" ht="15" customHeight="1">
      <c r="A40" s="12"/>
      <c r="B40" s="10" t="s">
        <v>44</v>
      </c>
      <c r="C40" s="23" t="s">
        <v>118</v>
      </c>
      <c r="D40" s="226">
        <f>('Restated Financial Statements'!D39+Ratios!D48)/'Restated Financial Statements'!D72</f>
        <v>0.2847457936952586</v>
      </c>
      <c r="E40" s="226">
        <f>('Restated Financial Statements'!E39+Ratios!E48)/'Restated Financial Statements'!E72</f>
        <v>0.21907481361755127</v>
      </c>
      <c r="F40" s="226">
        <f>('Restated Financial Statements'!F39+Ratios!F48)/'Restated Financial Statements'!F72</f>
        <v>0.18527515267468608</v>
      </c>
      <c r="G40" s="226">
        <f>('Restated Financial Statements'!G39+Ratios!G48)/'Restated Financial Statements'!G72</f>
        <v>0.16307219721506547</v>
      </c>
      <c r="H40" s="12"/>
      <c r="I40" s="12"/>
      <c r="J40" s="244"/>
      <c r="K40" s="243"/>
      <c r="L40" s="243"/>
      <c r="M40" s="243"/>
      <c r="N40" s="243"/>
      <c r="O40" s="243"/>
    </row>
    <row r="41" spans="1:15" s="3" customFormat="1" ht="15" customHeight="1">
      <c r="A41" s="12"/>
      <c r="B41" s="93" t="s">
        <v>47</v>
      </c>
      <c r="C41" s="94" t="s">
        <v>105</v>
      </c>
      <c r="D41" s="223">
        <f>D40-D66</f>
        <v>0.23474579369525861</v>
      </c>
      <c r="E41" s="223">
        <f t="shared" ref="E41:G41" si="4">E40-E66</f>
        <v>0.16907481361755128</v>
      </c>
      <c r="F41" s="223">
        <f t="shared" si="4"/>
        <v>0.13527515267468609</v>
      </c>
      <c r="G41" s="223">
        <f t="shared" si="4"/>
        <v>0.11307219721506546</v>
      </c>
      <c r="H41" s="12"/>
      <c r="I41" s="12"/>
      <c r="J41" s="244"/>
      <c r="K41" s="243"/>
      <c r="L41" s="243"/>
      <c r="M41" s="243"/>
      <c r="N41" s="243"/>
      <c r="O41" s="243"/>
    </row>
    <row r="42" spans="1:15" s="3" customFormat="1" ht="15" customHeight="1">
      <c r="A42" s="12"/>
      <c r="B42" s="7" t="s">
        <v>53</v>
      </c>
      <c r="C42" s="23" t="s">
        <v>119</v>
      </c>
      <c r="D42" s="222">
        <f>'Restated Financial Statements'!D10/'Restated Financial Statements'!D83</f>
        <v>1.6246965141537215</v>
      </c>
      <c r="E42" s="222">
        <f>'Restated Financial Statements'!E10/'Restated Financial Statements'!E83</f>
        <v>1.3144332603676092</v>
      </c>
      <c r="F42" s="222">
        <f>'Restated Financial Statements'!F10/'Restated Financial Statements'!F83</f>
        <v>1.0769074005340775</v>
      </c>
      <c r="G42" s="222">
        <f>'Restated Financial Statements'!G10/'Restated Financial Statements'!G83</f>
        <v>0.97519233315888376</v>
      </c>
      <c r="H42" s="12"/>
      <c r="I42" s="12"/>
      <c r="J42" s="244"/>
      <c r="K42" s="243"/>
      <c r="L42" s="243"/>
      <c r="M42" s="243"/>
      <c r="N42" s="243"/>
      <c r="O42" s="243"/>
    </row>
    <row r="43" spans="1:15" s="3" customFormat="1" ht="15" customHeight="1">
      <c r="A43" s="12"/>
      <c r="B43" s="93" t="s">
        <v>49</v>
      </c>
      <c r="C43" s="94" t="s">
        <v>124</v>
      </c>
      <c r="D43" s="205">
        <f>('Restated Financial Statements'!D10-'Restated Financial Statements'!E10)/'Restated Financial Statements'!E39</f>
        <v>0.87262147702829407</v>
      </c>
      <c r="E43" s="205">
        <f>('Restated Financial Statements'!E10-'Restated Financial Statements'!F10)/'Restated Financial Statements'!F10</f>
        <v>0.26438461191539259</v>
      </c>
      <c r="F43" s="205">
        <f>('Restated Financial Statements'!F10-'Restated Financial Statements'!G10)/'Restated Financial Statements'!G10</f>
        <v>0.184493092727331</v>
      </c>
      <c r="G43" s="205">
        <f>('Restated Financial Statements'!G10-Ratios!D64)/Ratios!D64</f>
        <v>0.16219035202086049</v>
      </c>
      <c r="H43" s="12"/>
      <c r="I43" s="12"/>
      <c r="J43" s="244"/>
      <c r="K43" s="243"/>
      <c r="L43" s="243"/>
      <c r="M43" s="243"/>
      <c r="N43" s="243"/>
      <c r="O43" s="243"/>
    </row>
    <row r="44" spans="1:15" s="3" customFormat="1" ht="15" customHeight="1">
      <c r="A44" s="12"/>
      <c r="B44" s="10" t="s">
        <v>50</v>
      </c>
      <c r="C44" s="23" t="s">
        <v>111</v>
      </c>
      <c r="D44" s="222">
        <f>('Restated Financial Statements'!D39-'Restated Financial Statements'!E39)/'Restated Financial Statements'!D39</f>
        <v>0.30306798460145801</v>
      </c>
      <c r="E44" s="222">
        <f>('Restated Financial Statements'!E39-'Restated Financial Statements'!F39)/'Restated Financial Statements'!E39</f>
        <v>0.23269814130494729</v>
      </c>
      <c r="F44" s="222">
        <f>('Restated Financial Statements'!F39-'Restated Financial Statements'!G39)/'Restated Financial Statements'!F39</f>
        <v>0.1806827942883637</v>
      </c>
      <c r="G44" s="224" t="s">
        <v>275</v>
      </c>
      <c r="H44" s="12"/>
      <c r="I44" s="12"/>
      <c r="J44" s="244"/>
      <c r="K44" s="243"/>
      <c r="L44" s="243"/>
      <c r="M44" s="243"/>
      <c r="N44" s="243"/>
      <c r="O44" s="243"/>
    </row>
    <row r="45" spans="1:15" s="3" customFormat="1" ht="15" customHeight="1">
      <c r="A45" s="12"/>
      <c r="B45" s="93" t="s">
        <v>51</v>
      </c>
      <c r="C45" s="94" t="s">
        <v>112</v>
      </c>
      <c r="D45" s="205">
        <f>('Restated Financial Statements'!D83-'Restated Financial Statements'!E83)/'Restated Financial Statements'!E83</f>
        <v>-8.3376717682660945E-3</v>
      </c>
      <c r="E45" s="205">
        <f>('Restated Financial Statements'!E83-'Restated Financial Statements'!F83)/'Restated Financial Statements'!F83</f>
        <v>3.5902838697406708E-2</v>
      </c>
      <c r="F45" s="205">
        <f>('Restated Financial Statements'!F83-'Restated Financial Statements'!G83)/'Restated Financial Statements'!G83</f>
        <v>7.261644049849364E-2</v>
      </c>
      <c r="G45" s="225" t="s">
        <v>275</v>
      </c>
      <c r="H45" s="12"/>
      <c r="I45" s="12"/>
      <c r="J45" s="244"/>
      <c r="K45" s="243"/>
      <c r="L45" s="243"/>
      <c r="M45" s="243"/>
      <c r="N45" s="243"/>
      <c r="O45" s="243"/>
    </row>
    <row r="46" spans="1:15" s="3" customFormat="1" ht="15" customHeight="1">
      <c r="A46" s="12"/>
      <c r="B46" s="10" t="s">
        <v>52</v>
      </c>
      <c r="C46" s="23" t="s">
        <v>113</v>
      </c>
      <c r="D46" s="222">
        <f>('Restated Financial Statements'!D100-'Restated Financial Statements'!E100)/'Restated Financial Statements'!E100</f>
        <v>0.20921730242553693</v>
      </c>
      <c r="E46" s="222">
        <f>('Restated Financial Statements'!E100-'Restated Financial Statements'!F100)/'Restated Financial Statements'!F100</f>
        <v>9.0481702176304996E-2</v>
      </c>
      <c r="F46" s="222">
        <f>('Restated Financial Statements'!F100-'Restated Financial Statements'!G100)/'Restated Financial Statements'!G100</f>
        <v>7.0086777017470084E-2</v>
      </c>
      <c r="G46" s="224" t="s">
        <v>275</v>
      </c>
      <c r="H46" s="10"/>
      <c r="I46" s="10"/>
      <c r="J46" s="244"/>
      <c r="K46" s="243"/>
      <c r="L46" s="243"/>
      <c r="M46" s="243"/>
      <c r="N46" s="243"/>
      <c r="O46" s="243"/>
    </row>
    <row r="47" spans="1:15" s="3" customFormat="1" ht="15" customHeight="1">
      <c r="A47" s="12"/>
      <c r="B47" s="116" t="s">
        <v>106</v>
      </c>
      <c r="C47" s="117" t="s">
        <v>107</v>
      </c>
      <c r="D47" s="94">
        <f>'Restated Financial Statements'!D39-('Restated Financial Statements'!D83-'Restated Financial Statements'!E83)</f>
        <v>52920.060000000005</v>
      </c>
      <c r="E47" s="94">
        <f>'Restated Financial Statements'!E39-('Restated Financial Statements'!E83-'Restated Financial Statements'!F83)</f>
        <v>32565.890000000014</v>
      </c>
      <c r="F47" s="94">
        <f>'Restated Financial Statements'!F39-('Restated Financial Statements'!F83-'Restated Financial Statements'!G83)</f>
        <v>20854.319999999985</v>
      </c>
      <c r="G47" s="225" t="s">
        <v>275</v>
      </c>
      <c r="H47" s="10"/>
      <c r="I47" s="10"/>
      <c r="J47" s="244"/>
      <c r="K47" s="243"/>
      <c r="L47" s="243"/>
      <c r="M47" s="243"/>
      <c r="N47" s="243"/>
      <c r="O47" s="243"/>
    </row>
    <row r="48" spans="1:15" s="3" customFormat="1" ht="15" customHeight="1">
      <c r="A48" s="12"/>
      <c r="B48" s="118" t="s">
        <v>108</v>
      </c>
      <c r="C48" s="118" t="s">
        <v>120</v>
      </c>
      <c r="D48" s="206">
        <f>$D$66*'Restated Financial Statements'!D81</f>
        <v>4668.4000000000005</v>
      </c>
      <c r="E48" s="206">
        <f>$D$66*'Restated Financial Statements'!E81</f>
        <v>3814.6000000000004</v>
      </c>
      <c r="F48" s="206">
        <f>$D$66*'Restated Financial Statements'!F81</f>
        <v>3234.25</v>
      </c>
      <c r="G48" s="206">
        <f>$D$66*'Restated Financial Statements'!G81</f>
        <v>3159.6000000000004</v>
      </c>
      <c r="H48" s="10"/>
      <c r="I48" s="10"/>
      <c r="J48" s="244"/>
      <c r="K48" s="243"/>
      <c r="L48" s="243"/>
      <c r="M48" s="243"/>
      <c r="N48" s="243"/>
      <c r="O48" s="243"/>
    </row>
    <row r="49" spans="1:15" s="3" customFormat="1" ht="15" customHeight="1">
      <c r="A49" s="12"/>
      <c r="B49" s="116" t="s">
        <v>10</v>
      </c>
      <c r="C49" s="116" t="s">
        <v>123</v>
      </c>
      <c r="D49" s="205">
        <f>(D35-D62)*'Restated Financial Statements'!D83</f>
        <v>43570.538399999998</v>
      </c>
      <c r="E49" s="205">
        <f>(E35-E62)*'Restated Financial Statements'!E83</f>
        <v>27730.505599999997</v>
      </c>
      <c r="F49" s="205">
        <f>(F35-F62)*'Restated Financial Statements'!F83</f>
        <v>19588.094399999998</v>
      </c>
      <c r="G49" s="205">
        <f>(G35-G62)*'Restated Financial Statements'!G83</f>
        <v>15118.3608</v>
      </c>
      <c r="H49" s="10"/>
      <c r="I49" s="10"/>
      <c r="J49" s="244"/>
      <c r="K49" s="243"/>
      <c r="L49" s="243"/>
      <c r="M49" s="243"/>
      <c r="N49" s="243"/>
      <c r="O49" s="243"/>
    </row>
    <row r="50" spans="1:15" s="3" customFormat="1" ht="6" customHeight="1">
      <c r="A50" s="12"/>
      <c r="B50" s="118"/>
      <c r="C50" s="118"/>
      <c r="D50" s="119"/>
      <c r="E50" s="119"/>
      <c r="F50" s="119"/>
      <c r="G50" s="119"/>
      <c r="H50" s="10"/>
      <c r="I50" s="10"/>
      <c r="J50" s="244"/>
      <c r="K50" s="243"/>
      <c r="L50" s="243"/>
      <c r="M50" s="243"/>
      <c r="N50" s="243"/>
      <c r="O50" s="243"/>
    </row>
    <row r="51" spans="1:15" s="120" customFormat="1" ht="19.5" customHeight="1">
      <c r="A51" s="10"/>
      <c r="B51" s="110" t="s">
        <v>104</v>
      </c>
      <c r="C51" s="111"/>
      <c r="D51" s="111"/>
      <c r="E51" s="111"/>
      <c r="F51" s="111"/>
      <c r="G51" s="112"/>
      <c r="H51" s="10"/>
      <c r="I51" s="113"/>
      <c r="J51" s="244"/>
      <c r="K51" s="243"/>
      <c r="L51" s="243"/>
      <c r="M51" s="243"/>
      <c r="N51" s="243"/>
      <c r="O51" s="243"/>
    </row>
    <row r="52" spans="1:15" s="3" customFormat="1" ht="15" customHeight="1">
      <c r="A52" s="10"/>
      <c r="B52" s="114" t="s">
        <v>121</v>
      </c>
      <c r="C52" s="114"/>
      <c r="D52" s="114"/>
      <c r="E52" s="114"/>
      <c r="F52" s="114"/>
      <c r="G52" s="115"/>
      <c r="H52" s="10"/>
      <c r="I52" s="10"/>
      <c r="J52" s="244"/>
      <c r="K52" s="243"/>
      <c r="L52" s="243"/>
      <c r="M52" s="243"/>
      <c r="N52" s="243"/>
      <c r="O52" s="243"/>
    </row>
    <row r="53" spans="1:15" s="3" customFormat="1" ht="15" customHeight="1">
      <c r="A53" s="12"/>
      <c r="B53" s="114" t="s">
        <v>122</v>
      </c>
      <c r="C53" s="114"/>
      <c r="D53" s="114"/>
      <c r="E53" s="114"/>
      <c r="F53" s="114"/>
      <c r="G53" s="115"/>
      <c r="H53" s="10"/>
      <c r="I53" s="10"/>
      <c r="J53" s="244"/>
      <c r="K53" s="243"/>
      <c r="L53" s="243"/>
      <c r="M53" s="243"/>
      <c r="N53" s="243"/>
      <c r="O53" s="243"/>
    </row>
    <row r="54" spans="1:15" s="3" customFormat="1" ht="15" customHeight="1">
      <c r="A54" s="12"/>
      <c r="B54" s="4" t="s">
        <v>273</v>
      </c>
      <c r="D54" s="114"/>
      <c r="E54" s="114"/>
      <c r="F54" s="114"/>
      <c r="G54" s="115"/>
      <c r="H54" s="10"/>
      <c r="I54" s="10"/>
      <c r="J54" s="244"/>
      <c r="K54" s="243"/>
      <c r="L54" s="243"/>
      <c r="M54" s="243"/>
      <c r="N54" s="243"/>
      <c r="O54" s="243"/>
    </row>
    <row r="55" spans="1:15">
      <c r="A55" s="10"/>
      <c r="B55" s="39"/>
      <c r="C55" s="39"/>
      <c r="D55" s="39"/>
      <c r="E55" s="39"/>
      <c r="F55" s="39"/>
      <c r="G55" s="43"/>
      <c r="H55" s="10"/>
      <c r="I55" s="10"/>
      <c r="J55" s="244"/>
      <c r="K55" s="243"/>
      <c r="L55" s="243"/>
      <c r="M55" s="243"/>
      <c r="N55" s="243"/>
      <c r="O55" s="243"/>
    </row>
    <row r="56" spans="1:15" ht="13">
      <c r="A56" s="10"/>
      <c r="B56" s="247" t="s">
        <v>60</v>
      </c>
      <c r="C56" s="248"/>
      <c r="D56" s="248"/>
      <c r="E56" s="248"/>
      <c r="F56" s="248"/>
      <c r="G56" s="248"/>
      <c r="H56" s="248"/>
      <c r="I56" s="249"/>
      <c r="J56" s="244"/>
      <c r="K56" s="243"/>
      <c r="L56" s="243"/>
      <c r="M56" s="243"/>
      <c r="N56" s="243"/>
      <c r="O56" s="243"/>
    </row>
    <row r="57" spans="1:15">
      <c r="B57" s="227" t="s">
        <v>71</v>
      </c>
      <c r="C57" s="228"/>
      <c r="D57" s="228"/>
      <c r="E57" s="228"/>
      <c r="F57" s="228"/>
      <c r="G57" s="228"/>
      <c r="H57" s="228"/>
      <c r="I57" s="250"/>
      <c r="J57" s="244"/>
      <c r="K57" s="243"/>
      <c r="L57" s="243"/>
      <c r="M57" s="243"/>
      <c r="N57" s="243"/>
      <c r="O57" s="243"/>
    </row>
    <row r="58" spans="1:15">
      <c r="B58" s="227"/>
      <c r="C58" s="228"/>
      <c r="D58" s="228"/>
      <c r="E58" s="228"/>
      <c r="F58" s="228"/>
      <c r="G58" s="228"/>
      <c r="H58" s="228"/>
      <c r="I58" s="250"/>
      <c r="J58" s="244"/>
      <c r="K58" s="243"/>
      <c r="L58" s="243"/>
      <c r="M58" s="243"/>
      <c r="N58" s="243"/>
      <c r="O58" s="243"/>
    </row>
    <row r="59" spans="1:15">
      <c r="B59" s="25"/>
      <c r="C59" s="1"/>
      <c r="D59" s="1">
        <v>2019</v>
      </c>
      <c r="E59" s="1">
        <v>2018</v>
      </c>
      <c r="F59" s="1">
        <v>2017</v>
      </c>
      <c r="G59" s="18">
        <v>2016</v>
      </c>
      <c r="H59" s="1"/>
      <c r="I59" s="18"/>
      <c r="J59" s="244"/>
      <c r="K59" s="243"/>
      <c r="L59" s="243"/>
      <c r="M59" s="243"/>
      <c r="N59" s="243"/>
      <c r="O59" s="243"/>
    </row>
    <row r="60" spans="1:15">
      <c r="B60" s="79"/>
      <c r="C60" s="1" t="s">
        <v>268</v>
      </c>
      <c r="D60" s="219">
        <v>130511.522</v>
      </c>
      <c r="E60" s="219">
        <v>130284.942</v>
      </c>
      <c r="F60" s="219">
        <v>130215.81299999999</v>
      </c>
      <c r="G60" s="219">
        <v>130215.81299999999</v>
      </c>
      <c r="H60" s="1"/>
      <c r="I60" s="78"/>
      <c r="J60" s="244"/>
      <c r="K60" s="243"/>
      <c r="L60" s="243"/>
      <c r="M60" s="243"/>
      <c r="N60" s="243"/>
      <c r="O60" s="243"/>
    </row>
    <row r="61" spans="1:15">
      <c r="B61" s="79"/>
      <c r="C61" s="1" t="s">
        <v>269</v>
      </c>
      <c r="D61" s="4">
        <v>34.200000000000003</v>
      </c>
      <c r="E61" s="1">
        <v>22.51</v>
      </c>
      <c r="F61" s="1">
        <v>8.57</v>
      </c>
      <c r="G61" s="18">
        <v>6.46</v>
      </c>
      <c r="H61" s="1"/>
      <c r="I61" s="18"/>
      <c r="J61" s="244"/>
      <c r="K61" s="243"/>
      <c r="L61" s="243"/>
      <c r="M61" s="243"/>
      <c r="N61" s="243"/>
      <c r="O61" s="243"/>
    </row>
    <row r="62" spans="1:15">
      <c r="B62" s="79"/>
      <c r="C62" s="1" t="s">
        <v>270</v>
      </c>
      <c r="D62" s="216">
        <v>0.08</v>
      </c>
      <c r="E62" s="193">
        <v>0.08</v>
      </c>
      <c r="F62" s="193">
        <v>0.08</v>
      </c>
      <c r="G62" s="193">
        <v>0.08</v>
      </c>
      <c r="H62" s="1"/>
      <c r="I62" s="78"/>
      <c r="J62" s="244"/>
      <c r="K62" s="243"/>
      <c r="L62" s="243"/>
      <c r="M62" s="243"/>
      <c r="N62" s="243"/>
      <c r="O62" s="243"/>
    </row>
    <row r="63" spans="1:15">
      <c r="B63" s="79"/>
      <c r="C63" s="1" t="s">
        <v>271</v>
      </c>
      <c r="D63" s="217">
        <v>28128</v>
      </c>
      <c r="E63" s="218">
        <v>25633</v>
      </c>
      <c r="F63" s="218">
        <v>20791</v>
      </c>
      <c r="G63" s="218">
        <v>17631</v>
      </c>
      <c r="H63" s="1"/>
      <c r="I63" s="78"/>
      <c r="J63" s="244"/>
      <c r="K63" s="243"/>
      <c r="L63" s="243"/>
      <c r="M63" s="243"/>
      <c r="N63" s="243"/>
      <c r="O63" s="243"/>
    </row>
    <row r="64" spans="1:15">
      <c r="B64" s="79"/>
      <c r="C64" s="1" t="s">
        <v>272</v>
      </c>
      <c r="D64" s="218">
        <v>80535</v>
      </c>
      <c r="E64" s="1"/>
      <c r="F64" s="1"/>
      <c r="G64" s="1"/>
      <c r="H64" s="1"/>
      <c r="I64" s="18"/>
      <c r="J64" s="244"/>
      <c r="K64" s="243"/>
      <c r="L64" s="243"/>
      <c r="M64" s="243"/>
      <c r="N64" s="243"/>
      <c r="O64" s="243"/>
    </row>
    <row r="65" spans="2:15">
      <c r="B65" s="25"/>
      <c r="C65" s="1"/>
      <c r="D65" s="1"/>
      <c r="E65" s="1"/>
      <c r="F65" s="1"/>
      <c r="G65" s="1"/>
      <c r="H65" s="1"/>
      <c r="I65" s="78"/>
      <c r="J65" s="244"/>
      <c r="K65" s="243"/>
      <c r="L65" s="243"/>
      <c r="M65" s="243"/>
      <c r="N65" s="243"/>
      <c r="O65" s="243"/>
    </row>
    <row r="66" spans="2:15">
      <c r="B66" s="25"/>
      <c r="C66" s="18" t="s">
        <v>274</v>
      </c>
      <c r="D66" s="193">
        <v>0.05</v>
      </c>
      <c r="E66" s="193">
        <v>0.05</v>
      </c>
      <c r="F66" s="193">
        <v>0.05</v>
      </c>
      <c r="G66" s="193">
        <v>0.05</v>
      </c>
      <c r="H66" s="1"/>
      <c r="I66" s="18"/>
      <c r="J66" s="244"/>
      <c r="K66" s="243"/>
      <c r="L66" s="243"/>
      <c r="M66" s="243"/>
      <c r="N66" s="243"/>
      <c r="O66" s="243"/>
    </row>
    <row r="67" spans="2:15">
      <c r="B67" s="25"/>
      <c r="C67" s="1"/>
      <c r="D67" s="1"/>
      <c r="E67" s="1"/>
      <c r="F67" s="1"/>
      <c r="G67" s="1"/>
      <c r="H67" s="1"/>
      <c r="I67" s="18"/>
      <c r="J67" s="244"/>
      <c r="K67" s="243"/>
      <c r="L67" s="243"/>
      <c r="M67" s="243"/>
      <c r="N67" s="243"/>
      <c r="O67" s="243"/>
    </row>
    <row r="68" spans="2:15">
      <c r="B68" s="25"/>
      <c r="C68" s="1"/>
      <c r="D68" s="1"/>
      <c r="E68" s="1"/>
      <c r="F68" s="1"/>
      <c r="G68" s="1"/>
      <c r="H68" s="1"/>
      <c r="I68" s="78"/>
      <c r="J68" s="244"/>
      <c r="K68" s="243"/>
      <c r="L68" s="243"/>
      <c r="M68" s="243"/>
      <c r="N68" s="243"/>
      <c r="O68" s="243"/>
    </row>
    <row r="69" spans="2:15">
      <c r="B69" s="25"/>
      <c r="C69" s="1"/>
      <c r="D69" s="1"/>
      <c r="E69" s="1"/>
      <c r="F69" s="1"/>
      <c r="G69" s="1"/>
      <c r="H69" s="1"/>
      <c r="I69" s="2"/>
      <c r="J69" s="244"/>
      <c r="K69" s="243"/>
      <c r="L69" s="243"/>
      <c r="M69" s="243"/>
      <c r="N69" s="243"/>
      <c r="O69" s="243"/>
    </row>
    <row r="70" spans="2:15">
      <c r="B70" s="25"/>
      <c r="C70" s="1"/>
      <c r="D70" s="1"/>
      <c r="E70" s="1"/>
      <c r="F70" s="1"/>
      <c r="G70" s="1"/>
      <c r="H70" s="1"/>
      <c r="I70" s="2"/>
      <c r="J70" s="244"/>
      <c r="K70" s="243"/>
      <c r="L70" s="243"/>
      <c r="M70" s="243"/>
      <c r="N70" s="243"/>
      <c r="O70" s="243"/>
    </row>
    <row r="71" spans="2:15">
      <c r="B71" s="25"/>
      <c r="C71" s="1"/>
      <c r="D71" s="1"/>
      <c r="E71" s="1"/>
      <c r="F71" s="1"/>
      <c r="G71" s="1"/>
      <c r="H71" s="1"/>
      <c r="I71" s="2"/>
      <c r="J71" s="244"/>
      <c r="K71" s="243"/>
      <c r="L71" s="243"/>
      <c r="M71" s="243"/>
      <c r="N71" s="243"/>
      <c r="O71" s="243"/>
    </row>
    <row r="72" spans="2:15">
      <c r="B72" s="25"/>
      <c r="C72" s="1"/>
      <c r="D72" s="1"/>
      <c r="E72" s="1"/>
      <c r="F72" s="1"/>
      <c r="G72" s="1"/>
      <c r="H72" s="1"/>
      <c r="I72" s="2"/>
      <c r="J72" s="244"/>
      <c r="K72" s="243"/>
      <c r="L72" s="243"/>
      <c r="M72" s="243"/>
      <c r="N72" s="243"/>
      <c r="O72" s="243"/>
    </row>
    <row r="73" spans="2:15">
      <c r="B73" s="25"/>
      <c r="C73" s="1"/>
      <c r="D73" s="1"/>
      <c r="E73" s="1"/>
      <c r="F73" s="1"/>
      <c r="G73" s="1"/>
      <c r="H73" s="1"/>
      <c r="I73" s="2"/>
      <c r="J73" s="244"/>
      <c r="K73" s="243"/>
      <c r="L73" s="243"/>
      <c r="M73" s="243"/>
      <c r="N73" s="243"/>
      <c r="O73" s="243"/>
    </row>
    <row r="74" spans="2:15">
      <c r="B74" s="25"/>
      <c r="C74" s="1"/>
      <c r="D74" s="1"/>
      <c r="E74" s="1"/>
      <c r="F74" s="1"/>
      <c r="G74" s="1"/>
      <c r="H74" s="1"/>
      <c r="I74" s="2"/>
      <c r="J74" s="244"/>
      <c r="K74" s="243"/>
      <c r="L74" s="243"/>
      <c r="M74" s="243"/>
      <c r="N74" s="243"/>
      <c r="O74" s="243"/>
    </row>
    <row r="75" spans="2:15">
      <c r="B75" s="25"/>
      <c r="C75" s="1"/>
      <c r="D75" s="1"/>
      <c r="E75" s="1"/>
      <c r="F75" s="1"/>
      <c r="G75" s="1"/>
      <c r="H75" s="1"/>
      <c r="I75" s="2"/>
      <c r="J75" s="244"/>
      <c r="K75" s="243"/>
      <c r="L75" s="243"/>
      <c r="M75" s="243"/>
      <c r="N75" s="243"/>
      <c r="O75" s="243"/>
    </row>
    <row r="76" spans="2:15">
      <c r="B76" s="25"/>
      <c r="C76" s="1"/>
      <c r="D76" s="1"/>
      <c r="E76" s="1"/>
      <c r="F76" s="1"/>
      <c r="G76" s="1"/>
      <c r="H76" s="1"/>
      <c r="I76" s="2"/>
      <c r="J76" s="244"/>
      <c r="K76" s="243"/>
      <c r="L76" s="243"/>
      <c r="M76" s="243"/>
      <c r="N76" s="243"/>
      <c r="O76" s="243"/>
    </row>
    <row r="77" spans="2:15">
      <c r="B77" s="25"/>
      <c r="C77" s="1"/>
      <c r="D77" s="1"/>
      <c r="E77" s="1"/>
      <c r="F77" s="1"/>
      <c r="G77" s="1"/>
      <c r="H77" s="1"/>
      <c r="I77" s="2"/>
      <c r="J77" s="244"/>
      <c r="K77" s="243"/>
      <c r="L77" s="243"/>
      <c r="M77" s="243"/>
      <c r="N77" s="243"/>
      <c r="O77" s="243"/>
    </row>
    <row r="78" spans="2:15">
      <c r="B78" s="25"/>
      <c r="C78" s="1"/>
      <c r="D78" s="1"/>
      <c r="E78" s="1"/>
      <c r="F78" s="1"/>
      <c r="G78" s="1"/>
      <c r="H78" s="1"/>
      <c r="I78" s="18"/>
      <c r="J78" s="244"/>
      <c r="K78" s="243"/>
      <c r="L78" s="243"/>
      <c r="M78" s="243"/>
      <c r="N78" s="243"/>
      <c r="O78" s="243"/>
    </row>
    <row r="79" spans="2:15">
      <c r="B79" s="25"/>
      <c r="C79" s="1"/>
      <c r="D79" s="1"/>
      <c r="E79" s="1"/>
      <c r="F79" s="1"/>
      <c r="G79" s="1"/>
      <c r="H79" s="1"/>
      <c r="I79" s="18"/>
      <c r="J79" s="244"/>
      <c r="K79" s="243"/>
      <c r="L79" s="243"/>
      <c r="M79" s="243"/>
      <c r="N79" s="243"/>
      <c r="O79" s="243"/>
    </row>
    <row r="80" spans="2:15">
      <c r="B80" s="25"/>
      <c r="C80" s="1"/>
      <c r="D80" s="1"/>
      <c r="E80" s="1"/>
      <c r="F80" s="1"/>
      <c r="G80" s="1"/>
      <c r="H80" s="1"/>
      <c r="I80" s="78"/>
      <c r="J80" s="244"/>
      <c r="K80" s="243"/>
      <c r="L80" s="243"/>
      <c r="M80" s="243"/>
      <c r="N80" s="243"/>
      <c r="O80" s="243"/>
    </row>
    <row r="81" spans="1:15">
      <c r="B81" s="25"/>
      <c r="C81" s="1"/>
      <c r="D81" s="1"/>
      <c r="E81" s="1"/>
      <c r="F81" s="1"/>
      <c r="G81" s="1"/>
      <c r="H81" s="1"/>
      <c r="I81" s="18"/>
      <c r="J81" s="244"/>
      <c r="K81" s="243"/>
      <c r="L81" s="243"/>
      <c r="M81" s="243"/>
      <c r="N81" s="243"/>
      <c r="O81" s="243"/>
    </row>
    <row r="82" spans="1:15">
      <c r="B82" s="25"/>
      <c r="C82" s="1"/>
      <c r="D82" s="1"/>
      <c r="E82" s="1"/>
      <c r="F82" s="1"/>
      <c r="G82" s="1"/>
      <c r="H82" s="1"/>
      <c r="I82" s="78"/>
      <c r="J82" s="244"/>
      <c r="K82" s="243"/>
      <c r="L82" s="243"/>
      <c r="M82" s="243"/>
      <c r="N82" s="243"/>
      <c r="O82" s="243"/>
    </row>
    <row r="83" spans="1:15">
      <c r="B83" s="25"/>
      <c r="C83" s="1"/>
      <c r="D83" s="1"/>
      <c r="E83" s="1"/>
      <c r="F83" s="1"/>
      <c r="G83" s="1"/>
      <c r="H83" s="1"/>
      <c r="I83" s="18"/>
      <c r="J83" s="244"/>
      <c r="K83" s="243"/>
      <c r="L83" s="243"/>
      <c r="M83" s="243"/>
      <c r="N83" s="243"/>
      <c r="O83" s="243"/>
    </row>
    <row r="84" spans="1:15">
      <c r="B84" s="25"/>
      <c r="C84" s="1"/>
      <c r="D84" s="1"/>
      <c r="E84" s="1"/>
      <c r="F84" s="1"/>
      <c r="G84" s="1"/>
      <c r="H84" s="1"/>
      <c r="I84" s="78"/>
      <c r="J84" s="244"/>
      <c r="K84" s="243"/>
      <c r="L84" s="243"/>
      <c r="M84" s="243"/>
      <c r="N84" s="243"/>
      <c r="O84" s="243"/>
    </row>
    <row r="85" spans="1:15">
      <c r="B85" s="25"/>
      <c r="C85" s="1"/>
      <c r="D85" s="1"/>
      <c r="E85" s="1"/>
      <c r="F85" s="1"/>
      <c r="G85" s="1"/>
      <c r="H85" s="1"/>
      <c r="I85" s="18"/>
      <c r="J85" s="244"/>
      <c r="K85" s="243"/>
      <c r="L85" s="243"/>
      <c r="M85" s="243"/>
      <c r="N85" s="243"/>
      <c r="O85" s="243"/>
    </row>
    <row r="86" spans="1:15">
      <c r="B86" s="25"/>
      <c r="C86" s="1"/>
      <c r="D86" s="1"/>
      <c r="E86" s="1"/>
      <c r="F86" s="1"/>
      <c r="G86" s="1"/>
      <c r="H86" s="1"/>
      <c r="I86" s="78"/>
      <c r="J86" s="244"/>
      <c r="K86" s="243"/>
      <c r="L86" s="243"/>
      <c r="M86" s="243"/>
      <c r="N86" s="243"/>
      <c r="O86" s="243"/>
    </row>
    <row r="87" spans="1:15">
      <c r="B87" s="25"/>
      <c r="C87" s="1"/>
      <c r="D87" s="1"/>
      <c r="E87" s="1"/>
      <c r="F87" s="1"/>
      <c r="G87" s="1"/>
      <c r="H87" s="18"/>
      <c r="I87" s="18"/>
      <c r="J87" s="244"/>
      <c r="K87" s="243"/>
      <c r="L87" s="243"/>
      <c r="M87" s="243"/>
      <c r="N87" s="243"/>
      <c r="O87" s="243"/>
    </row>
    <row r="88" spans="1:15">
      <c r="B88" s="25"/>
      <c r="C88" s="1"/>
      <c r="D88" s="1"/>
      <c r="E88" s="1"/>
      <c r="F88" s="1"/>
      <c r="G88" s="1"/>
      <c r="H88" s="18"/>
      <c r="I88" s="78"/>
      <c r="J88" s="244"/>
      <c r="K88" s="243"/>
      <c r="L88" s="243"/>
      <c r="M88" s="243"/>
      <c r="N88" s="243"/>
      <c r="O88" s="243"/>
    </row>
    <row r="89" spans="1:15">
      <c r="B89" s="25"/>
      <c r="C89"/>
      <c r="D89"/>
      <c r="E89"/>
      <c r="F89"/>
      <c r="G89"/>
      <c r="H89" s="2"/>
      <c r="I89" s="2"/>
      <c r="J89" s="244"/>
      <c r="K89" s="243"/>
      <c r="L89" s="243"/>
      <c r="M89" s="243"/>
      <c r="N89" s="243"/>
      <c r="O89" s="243"/>
    </row>
    <row r="90" spans="1:15">
      <c r="B90" s="79"/>
      <c r="H90" s="2"/>
      <c r="I90" s="2"/>
      <c r="J90" s="244"/>
      <c r="K90" s="243"/>
      <c r="L90" s="243"/>
      <c r="M90" s="243"/>
      <c r="N90" s="243"/>
      <c r="O90" s="243"/>
    </row>
    <row r="91" spans="1:15">
      <c r="B91" s="79"/>
      <c r="H91" s="2"/>
      <c r="I91" s="2"/>
      <c r="J91" s="244"/>
      <c r="K91" s="243"/>
      <c r="L91" s="243"/>
      <c r="M91" s="243"/>
      <c r="N91" s="243"/>
      <c r="O91" s="243"/>
    </row>
    <row r="92" spans="1:15">
      <c r="B92" s="79"/>
      <c r="H92" s="2"/>
      <c r="I92" s="2"/>
      <c r="J92" s="244"/>
      <c r="K92" s="243"/>
      <c r="L92" s="243"/>
      <c r="M92" s="243"/>
      <c r="N92" s="243"/>
      <c r="O92" s="243"/>
    </row>
    <row r="93" spans="1:15">
      <c r="B93" s="79"/>
      <c r="H93" s="2"/>
      <c r="I93" s="2"/>
      <c r="J93" s="244"/>
      <c r="K93" s="243"/>
      <c r="L93" s="243"/>
      <c r="M93" s="243"/>
      <c r="N93" s="243"/>
      <c r="O93" s="243"/>
    </row>
    <row r="94" spans="1:15">
      <c r="A94" s="10"/>
      <c r="B94" s="79"/>
      <c r="H94" s="2"/>
      <c r="I94" s="2"/>
      <c r="J94" s="244"/>
      <c r="K94" s="243"/>
      <c r="L94" s="243"/>
      <c r="M94" s="243"/>
      <c r="N94" s="243"/>
      <c r="O94" s="243"/>
    </row>
    <row r="95" spans="1:15">
      <c r="A95" s="10"/>
      <c r="B95" s="79"/>
      <c r="H95" s="2"/>
      <c r="I95" s="2"/>
      <c r="J95" s="244"/>
      <c r="K95" s="243"/>
      <c r="L95" s="243"/>
      <c r="M95" s="243"/>
      <c r="N95" s="243"/>
      <c r="O95" s="243"/>
    </row>
    <row r="96" spans="1:15">
      <c r="A96" s="10"/>
      <c r="B96" s="79"/>
      <c r="H96" s="2"/>
      <c r="I96" s="2"/>
      <c r="J96" s="244"/>
      <c r="K96" s="243"/>
      <c r="L96" s="243"/>
      <c r="M96" s="243"/>
      <c r="N96" s="243"/>
      <c r="O96" s="243"/>
    </row>
    <row r="97" spans="2:15">
      <c r="B97" s="79"/>
      <c r="H97" s="18"/>
      <c r="I97" s="18"/>
      <c r="J97" s="244"/>
      <c r="K97" s="243"/>
      <c r="L97" s="243"/>
      <c r="M97" s="243"/>
      <c r="N97" s="243"/>
      <c r="O97" s="243"/>
    </row>
    <row r="98" spans="2:15">
      <c r="B98" s="79"/>
      <c r="H98" s="18"/>
      <c r="I98" s="18"/>
      <c r="J98" s="244"/>
      <c r="K98" s="243"/>
      <c r="L98" s="243"/>
      <c r="M98" s="243"/>
      <c r="N98" s="243"/>
      <c r="O98" s="243"/>
    </row>
    <row r="99" spans="2:15">
      <c r="B99" s="79"/>
      <c r="H99" s="18"/>
      <c r="I99" s="18"/>
      <c r="J99" s="244"/>
      <c r="K99" s="243"/>
      <c r="L99" s="243"/>
      <c r="M99" s="243"/>
      <c r="N99" s="243"/>
      <c r="O99" s="243"/>
    </row>
    <row r="100" spans="2:15">
      <c r="B100" s="79"/>
      <c r="H100" s="78"/>
      <c r="I100" s="78"/>
      <c r="J100" s="244"/>
      <c r="K100" s="243"/>
      <c r="L100" s="243"/>
      <c r="M100" s="243"/>
      <c r="N100" s="243"/>
      <c r="O100" s="243"/>
    </row>
    <row r="101" spans="2:15">
      <c r="B101" s="79"/>
      <c r="H101" s="18"/>
      <c r="I101" s="18"/>
      <c r="J101" s="244"/>
      <c r="K101" s="243"/>
      <c r="L101" s="243"/>
      <c r="M101" s="243"/>
      <c r="N101" s="243"/>
      <c r="O101" s="243"/>
    </row>
    <row r="102" spans="2:15">
      <c r="B102" s="79"/>
      <c r="H102" s="2"/>
      <c r="I102" s="2"/>
      <c r="J102" s="244"/>
      <c r="K102" s="243"/>
      <c r="L102" s="243"/>
      <c r="M102" s="243"/>
      <c r="N102" s="243"/>
      <c r="O102" s="243"/>
    </row>
    <row r="103" spans="2:15">
      <c r="B103" s="79"/>
      <c r="H103" s="2"/>
      <c r="I103" s="2"/>
      <c r="J103" s="244"/>
      <c r="K103" s="243"/>
      <c r="L103" s="243"/>
      <c r="M103" s="243"/>
      <c r="N103" s="243"/>
      <c r="O103" s="243"/>
    </row>
    <row r="104" spans="2:15">
      <c r="B104" s="79"/>
      <c r="H104" s="2"/>
      <c r="I104" s="2"/>
      <c r="J104" s="244"/>
      <c r="K104" s="243"/>
      <c r="L104" s="243"/>
      <c r="M104" s="243"/>
      <c r="N104" s="243"/>
      <c r="O104" s="243"/>
    </row>
    <row r="105" spans="2:15">
      <c r="B105" s="79"/>
      <c r="H105" s="2"/>
      <c r="I105" s="2"/>
      <c r="J105" s="244"/>
      <c r="K105" s="243"/>
      <c r="L105" s="243"/>
      <c r="M105" s="243"/>
      <c r="N105" s="243"/>
      <c r="O105" s="243"/>
    </row>
    <row r="106" spans="2:15">
      <c r="B106" s="79"/>
      <c r="H106" s="2"/>
      <c r="I106" s="2"/>
      <c r="J106" s="244"/>
      <c r="K106" s="243"/>
      <c r="L106" s="243"/>
      <c r="M106" s="243"/>
      <c r="N106" s="243"/>
      <c r="O106" s="243"/>
    </row>
    <row r="107" spans="2:15">
      <c r="B107" s="79"/>
      <c r="H107" s="2"/>
      <c r="I107" s="2"/>
      <c r="J107" s="244"/>
      <c r="K107" s="243"/>
      <c r="L107" s="243"/>
      <c r="M107" s="243"/>
      <c r="N107" s="243"/>
      <c r="O107" s="243"/>
    </row>
    <row r="108" spans="2:15">
      <c r="B108" s="79"/>
      <c r="H108" s="2"/>
      <c r="I108" s="2"/>
      <c r="J108" s="244"/>
      <c r="K108" s="243"/>
      <c r="L108" s="243"/>
      <c r="M108" s="243"/>
      <c r="N108" s="243"/>
      <c r="O108" s="243"/>
    </row>
    <row r="109" spans="2:15">
      <c r="B109" s="79"/>
      <c r="H109" s="2"/>
      <c r="I109" s="2"/>
      <c r="J109" s="244"/>
      <c r="K109" s="243"/>
      <c r="L109" s="243"/>
      <c r="M109" s="243"/>
      <c r="N109" s="243"/>
      <c r="O109" s="243"/>
    </row>
    <row r="110" spans="2:15">
      <c r="B110" s="79"/>
      <c r="H110" s="2"/>
      <c r="I110" s="2"/>
      <c r="J110" s="244"/>
      <c r="K110" s="243"/>
      <c r="L110" s="243"/>
      <c r="M110" s="243"/>
      <c r="N110" s="243"/>
      <c r="O110" s="243"/>
    </row>
    <row r="111" spans="2:15">
      <c r="B111" s="79"/>
      <c r="H111" s="18"/>
      <c r="I111" s="18"/>
      <c r="J111" s="244"/>
      <c r="K111" s="243"/>
      <c r="L111" s="243"/>
      <c r="M111" s="243"/>
      <c r="N111" s="243"/>
      <c r="O111" s="243"/>
    </row>
    <row r="112" spans="2:15">
      <c r="B112" s="79"/>
      <c r="H112" s="2"/>
      <c r="I112" s="2"/>
      <c r="J112" s="244"/>
      <c r="K112" s="243"/>
      <c r="L112" s="243"/>
      <c r="M112" s="243"/>
      <c r="N112" s="243"/>
      <c r="O112" s="243"/>
    </row>
    <row r="113" spans="2:15">
      <c r="B113" s="79"/>
      <c r="H113" s="2"/>
      <c r="I113" s="2"/>
      <c r="J113" s="244"/>
      <c r="K113" s="243"/>
      <c r="L113" s="243"/>
      <c r="M113" s="243"/>
      <c r="N113" s="243"/>
      <c r="O113" s="243"/>
    </row>
    <row r="114" spans="2:15">
      <c r="B114" s="79"/>
      <c r="H114" s="5"/>
      <c r="I114" s="5"/>
      <c r="J114" s="244"/>
      <c r="K114" s="243"/>
      <c r="L114" s="243"/>
      <c r="M114" s="243"/>
      <c r="N114" s="243"/>
      <c r="O114" s="243"/>
    </row>
    <row r="115" spans="2:15">
      <c r="B115" s="79"/>
      <c r="H115" s="5"/>
      <c r="I115" s="5"/>
      <c r="J115" s="244"/>
      <c r="K115" s="243"/>
      <c r="L115" s="243"/>
      <c r="M115" s="243"/>
      <c r="N115" s="243"/>
      <c r="O115" s="243"/>
    </row>
    <row r="116" spans="2:15">
      <c r="B116" s="79"/>
      <c r="H116" s="5"/>
      <c r="I116" s="5"/>
      <c r="J116" s="244"/>
      <c r="K116" s="243"/>
      <c r="L116" s="243"/>
      <c r="M116" s="243"/>
      <c r="N116" s="243"/>
      <c r="O116" s="243"/>
    </row>
    <row r="117" spans="2:15">
      <c r="B117" s="79"/>
      <c r="H117" s="18"/>
      <c r="I117" s="18"/>
      <c r="J117" s="244"/>
      <c r="K117" s="243"/>
      <c r="L117" s="243"/>
      <c r="M117" s="243"/>
      <c r="N117" s="243"/>
      <c r="O117" s="243"/>
    </row>
    <row r="118" spans="2:15">
      <c r="B118" s="79"/>
      <c r="H118" s="18"/>
      <c r="I118" s="18"/>
      <c r="J118" s="244"/>
      <c r="K118" s="243"/>
      <c r="L118" s="243"/>
      <c r="M118" s="243"/>
      <c r="N118" s="243"/>
      <c r="O118" s="243"/>
    </row>
    <row r="119" spans="2:15">
      <c r="B119" s="79"/>
      <c r="H119" s="18"/>
      <c r="I119" s="18"/>
      <c r="J119" s="244"/>
      <c r="K119" s="243"/>
      <c r="L119" s="243"/>
      <c r="M119" s="243"/>
      <c r="N119" s="243"/>
      <c r="O119" s="243"/>
    </row>
    <row r="120" spans="2:15">
      <c r="B120" s="79"/>
      <c r="H120" s="18"/>
      <c r="I120" s="1"/>
      <c r="J120" s="244"/>
      <c r="K120" s="243"/>
      <c r="L120" s="243"/>
      <c r="M120" s="243"/>
      <c r="N120" s="243"/>
      <c r="O120" s="243"/>
    </row>
    <row r="121" spans="2:15">
      <c r="B121" s="79"/>
      <c r="H121" s="18"/>
      <c r="I121" s="1"/>
      <c r="J121" s="244"/>
      <c r="K121" s="243"/>
      <c r="L121" s="243"/>
      <c r="M121" s="243"/>
      <c r="N121" s="243"/>
      <c r="O121" s="243"/>
    </row>
    <row r="122" spans="2:15">
      <c r="B122" s="79"/>
      <c r="H122" s="1"/>
      <c r="I122" s="1"/>
      <c r="J122" s="244"/>
      <c r="K122" s="243"/>
      <c r="L122" s="243"/>
      <c r="M122" s="243"/>
      <c r="N122" s="243"/>
      <c r="O122" s="243"/>
    </row>
    <row r="123" spans="2:15">
      <c r="B123" s="79"/>
      <c r="H123" s="1"/>
      <c r="I123" s="1"/>
      <c r="J123" s="244"/>
      <c r="K123" s="243"/>
      <c r="L123" s="243"/>
      <c r="M123" s="243"/>
      <c r="N123" s="243"/>
      <c r="O123" s="243"/>
    </row>
    <row r="124" spans="2:15">
      <c r="B124" s="79"/>
      <c r="H124" s="1"/>
      <c r="I124" s="1"/>
      <c r="J124" s="244"/>
      <c r="K124" s="243"/>
      <c r="L124" s="243"/>
      <c r="M124" s="243"/>
      <c r="N124" s="243"/>
      <c r="O124" s="243"/>
    </row>
    <row r="125" spans="2:15">
      <c r="B125" s="79"/>
      <c r="H125" s="1"/>
      <c r="I125" s="1"/>
      <c r="J125" s="244"/>
      <c r="K125" s="243"/>
      <c r="L125" s="243"/>
      <c r="M125" s="243"/>
      <c r="N125" s="243"/>
      <c r="O125" s="243"/>
    </row>
    <row r="126" spans="2:15">
      <c r="B126" s="79"/>
      <c r="H126" s="1"/>
      <c r="I126" s="1"/>
      <c r="J126" s="244"/>
      <c r="K126" s="243"/>
      <c r="L126" s="243"/>
      <c r="M126" s="243"/>
      <c r="N126" s="243"/>
      <c r="O126" s="243"/>
    </row>
    <row r="127" spans="2:15">
      <c r="B127" s="79"/>
      <c r="H127" s="1"/>
      <c r="I127" s="1"/>
      <c r="J127" s="244"/>
      <c r="K127" s="243"/>
      <c r="L127" s="243"/>
      <c r="M127" s="243"/>
      <c r="N127" s="243"/>
      <c r="O127" s="243"/>
    </row>
    <row r="128" spans="2:15">
      <c r="B128" s="79"/>
      <c r="H128" s="1"/>
      <c r="I128" s="1"/>
      <c r="J128" s="244"/>
      <c r="K128" s="243"/>
      <c r="L128" s="243"/>
      <c r="M128" s="243"/>
      <c r="N128" s="243"/>
      <c r="O128" s="243"/>
    </row>
    <row r="129" spans="2:15">
      <c r="B129" s="79"/>
      <c r="H129" s="1"/>
      <c r="I129" s="1"/>
      <c r="J129" s="244"/>
      <c r="K129" s="243"/>
      <c r="L129" s="243"/>
      <c r="M129" s="243"/>
      <c r="N129" s="243"/>
      <c r="O129" s="243"/>
    </row>
    <row r="130" spans="2:15">
      <c r="B130" s="79"/>
      <c r="H130" s="1"/>
      <c r="I130" s="1"/>
      <c r="J130" s="244"/>
      <c r="K130" s="243"/>
      <c r="L130" s="243"/>
      <c r="M130" s="243"/>
      <c r="N130" s="243"/>
      <c r="O130" s="243"/>
    </row>
    <row r="131" spans="2:15">
      <c r="B131" s="79"/>
      <c r="H131" s="1"/>
      <c r="I131" s="1"/>
      <c r="J131" s="244"/>
      <c r="K131" s="243"/>
      <c r="L131" s="243"/>
      <c r="M131" s="243"/>
      <c r="N131" s="243"/>
      <c r="O131" s="243"/>
    </row>
    <row r="132" spans="2:15">
      <c r="B132" s="79"/>
      <c r="H132" s="1"/>
      <c r="I132" s="1"/>
      <c r="J132" s="244"/>
      <c r="K132" s="243"/>
      <c r="L132" s="243"/>
      <c r="M132" s="243"/>
      <c r="N132" s="243"/>
      <c r="O132" s="243"/>
    </row>
    <row r="133" spans="2:15">
      <c r="B133" s="79"/>
      <c r="H133" s="1"/>
      <c r="I133" s="1"/>
      <c r="J133" s="244"/>
      <c r="K133" s="243"/>
      <c r="L133" s="243"/>
      <c r="M133" s="243"/>
      <c r="N133" s="243"/>
      <c r="O133" s="243"/>
    </row>
    <row r="134" spans="2:15">
      <c r="B134" s="79"/>
      <c r="H134" s="1"/>
      <c r="I134" s="1"/>
      <c r="J134" s="244"/>
      <c r="K134" s="243"/>
      <c r="L134" s="243"/>
      <c r="M134" s="243"/>
      <c r="N134" s="243"/>
      <c r="O134" s="243"/>
    </row>
    <row r="135" spans="2:15">
      <c r="B135" s="79"/>
      <c r="H135" s="1"/>
      <c r="I135" s="1"/>
      <c r="J135" s="244"/>
      <c r="K135" s="243"/>
      <c r="L135" s="243"/>
      <c r="M135" s="243"/>
      <c r="N135" s="243"/>
      <c r="O135" s="243"/>
    </row>
    <row r="136" spans="2:15">
      <c r="B136" s="79"/>
      <c r="H136" s="1"/>
      <c r="I136" s="1"/>
      <c r="J136" s="244"/>
      <c r="K136" s="243"/>
      <c r="L136" s="243"/>
      <c r="M136" s="243"/>
      <c r="N136" s="243"/>
      <c r="O136" s="243"/>
    </row>
    <row r="137" spans="2:15">
      <c r="B137" s="79"/>
      <c r="H137" s="1"/>
      <c r="I137" s="1"/>
      <c r="J137" s="244"/>
      <c r="K137" s="243"/>
      <c r="L137" s="243"/>
      <c r="M137" s="243"/>
      <c r="N137" s="243"/>
      <c r="O137" s="243"/>
    </row>
    <row r="138" spans="2:15">
      <c r="B138" s="79"/>
      <c r="H138" s="1"/>
      <c r="I138" s="1"/>
      <c r="J138" s="244"/>
      <c r="K138" s="243"/>
      <c r="L138" s="243"/>
      <c r="M138" s="243"/>
      <c r="N138" s="243"/>
      <c r="O138" s="243"/>
    </row>
    <row r="139" spans="2:15">
      <c r="B139" s="79"/>
      <c r="H139" s="1"/>
      <c r="I139" s="1"/>
      <c r="J139" s="244"/>
      <c r="K139" s="243"/>
      <c r="L139" s="243"/>
      <c r="M139" s="243"/>
      <c r="N139" s="243"/>
      <c r="O139" s="243"/>
    </row>
    <row r="140" spans="2:15">
      <c r="B140" s="79"/>
      <c r="H140" s="1"/>
      <c r="I140" s="1"/>
      <c r="J140" s="244"/>
      <c r="K140" s="243"/>
      <c r="L140" s="243"/>
      <c r="M140" s="243"/>
      <c r="N140" s="243"/>
      <c r="O140" s="243"/>
    </row>
    <row r="141" spans="2:15">
      <c r="B141" s="79"/>
      <c r="H141" s="1"/>
      <c r="I141" s="1"/>
      <c r="J141" s="244"/>
      <c r="K141" s="243"/>
      <c r="L141" s="243"/>
      <c r="M141" s="243"/>
      <c r="N141" s="243"/>
      <c r="O141" s="243"/>
    </row>
    <row r="142" spans="2:15">
      <c r="B142" s="79"/>
      <c r="H142" s="1"/>
      <c r="I142" s="1"/>
      <c r="J142" s="244"/>
      <c r="K142" s="243"/>
      <c r="L142" s="243"/>
      <c r="M142" s="243"/>
      <c r="N142" s="243"/>
      <c r="O142" s="243"/>
    </row>
    <row r="143" spans="2:15">
      <c r="B143" s="79"/>
      <c r="H143" s="1"/>
      <c r="I143" s="1"/>
      <c r="J143" s="244"/>
      <c r="K143" s="243"/>
      <c r="L143" s="243"/>
      <c r="M143" s="243"/>
      <c r="N143" s="243"/>
      <c r="O143" s="243"/>
    </row>
    <row r="144" spans="2:15">
      <c r="B144" s="79"/>
      <c r="H144" s="1"/>
      <c r="I144" s="1"/>
      <c r="J144" s="244"/>
      <c r="K144" s="243"/>
      <c r="L144" s="243"/>
      <c r="M144" s="243"/>
      <c r="N144" s="243"/>
      <c r="O144" s="243"/>
    </row>
    <row r="145" spans="8:9">
      <c r="H145" s="1"/>
      <c r="I145" s="1"/>
    </row>
    <row r="146" spans="8:9">
      <c r="H146" s="1"/>
      <c r="I146" s="1"/>
    </row>
  </sheetData>
  <mergeCells count="9">
    <mergeCell ref="J15:O15"/>
    <mergeCell ref="J16:O144"/>
    <mergeCell ref="B56:I56"/>
    <mergeCell ref="B57:I58"/>
    <mergeCell ref="J1:O1"/>
    <mergeCell ref="B2:G2"/>
    <mergeCell ref="B3:G3"/>
    <mergeCell ref="B4:G4"/>
    <mergeCell ref="J2:O14"/>
  </mergeCells>
  <phoneticPr fontId="2" type="noConversion"/>
  <pageMargins left="0.75" right="0.75" top="1" bottom="1" header="0.5" footer="0.5"/>
  <headerFooter alignWithMargins="0"/>
  <colBreaks count="1" manualBreakCount="1">
    <brk id="9" max="1048575" man="1"/>
  </colBreaks>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8" tint="0.59999389629810485"/>
  </sheetPr>
  <dimension ref="A1:T253"/>
  <sheetViews>
    <sheetView zoomScaleSheetLayoutView="100" workbookViewId="0">
      <selection activeCell="C24" sqref="C24"/>
    </sheetView>
  </sheetViews>
  <sheetFormatPr baseColWidth="10" defaultColWidth="8.83203125" defaultRowHeight="12" x14ac:dyDescent="0"/>
  <cols>
    <col min="1" max="1" width="2" style="12" customWidth="1"/>
    <col min="2" max="2" width="15.6640625" bestFit="1" customWidth="1"/>
    <col min="3" max="3" width="13.5" customWidth="1"/>
    <col min="4" max="13" width="10.6640625" style="6" customWidth="1"/>
  </cols>
  <sheetData>
    <row r="1" spans="1:20" ht="16">
      <c r="B1" s="12"/>
      <c r="C1" s="12"/>
      <c r="D1" s="35"/>
      <c r="E1" s="35"/>
      <c r="F1" s="35"/>
      <c r="G1" s="35"/>
      <c r="H1" s="35"/>
      <c r="I1" s="35"/>
      <c r="J1" s="41"/>
      <c r="K1" s="65"/>
      <c r="L1" s="65"/>
      <c r="M1" s="65"/>
      <c r="N1" s="66"/>
      <c r="O1" s="251" t="s">
        <v>59</v>
      </c>
      <c r="P1" s="243"/>
      <c r="Q1" s="243"/>
      <c r="R1" s="243"/>
      <c r="S1" s="243"/>
      <c r="T1" s="243"/>
    </row>
    <row r="2" spans="1:20" ht="16">
      <c r="B2" s="253" t="str">
        <f>+'Financial Statements'!C2</f>
        <v>Altium Limited</v>
      </c>
      <c r="C2" s="254"/>
      <c r="D2" s="254"/>
      <c r="E2" s="254"/>
      <c r="F2" s="254"/>
      <c r="G2" s="254"/>
      <c r="H2" s="254"/>
      <c r="I2" s="255"/>
      <c r="J2" s="255"/>
      <c r="K2" s="255"/>
      <c r="L2" s="255"/>
      <c r="M2" s="255"/>
      <c r="N2" s="12"/>
      <c r="O2" s="232" t="s">
        <v>76</v>
      </c>
      <c r="P2" s="233"/>
      <c r="Q2" s="233"/>
      <c r="R2" s="233"/>
      <c r="S2" s="233"/>
      <c r="T2" s="233"/>
    </row>
    <row r="3" spans="1:20" ht="16">
      <c r="B3" s="256" t="s">
        <v>15</v>
      </c>
      <c r="C3" s="257"/>
      <c r="D3" s="257"/>
      <c r="E3" s="257"/>
      <c r="F3" s="257"/>
      <c r="G3" s="257"/>
      <c r="H3" s="257"/>
      <c r="I3" s="243"/>
      <c r="J3" s="243"/>
      <c r="K3" s="243"/>
      <c r="L3" s="243"/>
      <c r="M3" s="243"/>
      <c r="N3" s="12"/>
      <c r="O3" s="227"/>
      <c r="P3" s="233"/>
      <c r="Q3" s="233"/>
      <c r="R3" s="233"/>
      <c r="S3" s="233"/>
      <c r="T3" s="233"/>
    </row>
    <row r="4" spans="1:20" ht="15" thickBot="1">
      <c r="B4" s="258" t="str">
        <f>'Financial Statements'!C4</f>
        <v>Years ended 30 June</v>
      </c>
      <c r="C4" s="259"/>
      <c r="D4" s="259"/>
      <c r="E4" s="259"/>
      <c r="F4" s="259"/>
      <c r="G4" s="259"/>
      <c r="H4" s="259"/>
      <c r="I4" s="260"/>
      <c r="J4" s="260"/>
      <c r="K4" s="260"/>
      <c r="L4" s="260"/>
      <c r="M4" s="260"/>
      <c r="N4" s="12"/>
      <c r="O4" s="227"/>
      <c r="P4" s="233"/>
      <c r="Q4" s="233"/>
      <c r="R4" s="233"/>
      <c r="S4" s="233"/>
      <c r="T4" s="233"/>
    </row>
    <row r="5" spans="1:20" ht="13">
      <c r="B5" s="40"/>
      <c r="C5" s="40"/>
      <c r="D5" s="40">
        <f>+E5-1</f>
        <v>2013</v>
      </c>
      <c r="E5" s="48">
        <f t="shared" ref="E5" si="0">+F5-1</f>
        <v>2014</v>
      </c>
      <c r="F5" s="48">
        <f>+G5-1</f>
        <v>2015</v>
      </c>
      <c r="G5" s="82">
        <f>+'Financial Statements'!G5</f>
        <v>2016</v>
      </c>
      <c r="H5" s="40">
        <f>+G5+1</f>
        <v>2017</v>
      </c>
      <c r="I5" s="40">
        <f t="shared" ref="I5:M5" si="1">+H5+1</f>
        <v>2018</v>
      </c>
      <c r="J5" s="40">
        <f t="shared" si="1"/>
        <v>2019</v>
      </c>
      <c r="K5" s="40">
        <f t="shared" si="1"/>
        <v>2020</v>
      </c>
      <c r="L5" s="40">
        <f t="shared" si="1"/>
        <v>2021</v>
      </c>
      <c r="M5" s="40">
        <f t="shared" si="1"/>
        <v>2022</v>
      </c>
      <c r="N5" s="12"/>
      <c r="O5" s="227"/>
      <c r="P5" s="233"/>
      <c r="Q5" s="233"/>
      <c r="R5" s="233"/>
      <c r="S5" s="233"/>
      <c r="T5" s="233"/>
    </row>
    <row r="6" spans="1:20">
      <c r="B6" s="49"/>
      <c r="C6" s="49"/>
      <c r="D6" s="98" t="s">
        <v>85</v>
      </c>
      <c r="E6" s="98" t="s">
        <v>85</v>
      </c>
      <c r="F6" s="98" t="s">
        <v>85</v>
      </c>
      <c r="G6" s="97" t="s">
        <v>85</v>
      </c>
      <c r="H6" s="98" t="s">
        <v>86</v>
      </c>
      <c r="I6" s="98" t="s">
        <v>86</v>
      </c>
      <c r="J6" s="98" t="s">
        <v>86</v>
      </c>
      <c r="K6" s="98" t="s">
        <v>86</v>
      </c>
      <c r="L6" s="98" t="s">
        <v>86</v>
      </c>
      <c r="M6" s="98" t="s">
        <v>86</v>
      </c>
      <c r="N6" s="12"/>
      <c r="O6" s="227"/>
      <c r="P6" s="233"/>
      <c r="Q6" s="233"/>
      <c r="R6" s="233"/>
      <c r="S6" s="233"/>
      <c r="T6" s="233"/>
    </row>
    <row r="7" spans="1:20">
      <c r="B7" s="59" t="s">
        <v>17</v>
      </c>
      <c r="C7" s="60"/>
      <c r="D7" s="61"/>
      <c r="E7" s="61"/>
      <c r="F7" s="61"/>
      <c r="G7" s="83"/>
      <c r="H7" s="61"/>
      <c r="I7" s="61"/>
      <c r="J7" s="61"/>
      <c r="K7" s="61"/>
      <c r="L7" s="61"/>
      <c r="M7" s="129">
        <f>+L7</f>
        <v>0</v>
      </c>
      <c r="N7" s="55"/>
      <c r="O7" s="227"/>
      <c r="P7" s="233"/>
      <c r="Q7" s="233"/>
      <c r="R7" s="233"/>
      <c r="S7" s="233"/>
      <c r="T7" s="233"/>
    </row>
    <row r="8" spans="1:20" ht="15.75" customHeight="1">
      <c r="B8" s="7" t="s">
        <v>18</v>
      </c>
      <c r="C8" s="51"/>
      <c r="D8" s="54"/>
      <c r="E8" s="54"/>
      <c r="F8" s="54"/>
      <c r="G8" s="84"/>
      <c r="H8" s="54"/>
      <c r="I8" s="54"/>
      <c r="J8" s="54"/>
      <c r="K8" s="54"/>
      <c r="L8" s="54"/>
      <c r="M8" s="129">
        <f>+L8</f>
        <v>0</v>
      </c>
      <c r="N8" s="55"/>
      <c r="O8" s="227"/>
      <c r="P8" s="233"/>
      <c r="Q8" s="233"/>
      <c r="R8" s="233"/>
      <c r="S8" s="233"/>
      <c r="T8" s="233"/>
    </row>
    <row r="9" spans="1:20" ht="15.75" customHeight="1" thickBot="1">
      <c r="B9" s="59" t="s">
        <v>19</v>
      </c>
      <c r="C9" s="62"/>
      <c r="D9" s="63"/>
      <c r="E9" s="63"/>
      <c r="F9" s="63"/>
      <c r="G9" s="85"/>
      <c r="H9" s="63"/>
      <c r="I9" s="63"/>
      <c r="J9" s="63"/>
      <c r="K9" s="63"/>
      <c r="L9" s="63"/>
      <c r="M9" s="137">
        <f>+L9</f>
        <v>0</v>
      </c>
      <c r="N9" s="31"/>
      <c r="O9" s="227"/>
      <c r="P9" s="233"/>
      <c r="Q9" s="233"/>
      <c r="R9" s="233"/>
      <c r="S9" s="233"/>
      <c r="T9" s="233"/>
    </row>
    <row r="10" spans="1:20" ht="15.75" customHeight="1" thickBot="1">
      <c r="B10" s="96" t="s">
        <v>63</v>
      </c>
      <c r="C10" s="51"/>
      <c r="D10" s="22"/>
      <c r="E10" s="22"/>
      <c r="F10" s="22"/>
      <c r="G10" s="86"/>
      <c r="H10" s="56"/>
      <c r="I10" s="56"/>
      <c r="J10" s="56"/>
      <c r="K10" s="56"/>
      <c r="L10" s="56"/>
      <c r="M10" s="134"/>
      <c r="N10" s="31"/>
      <c r="O10" s="227"/>
      <c r="P10" s="233"/>
      <c r="Q10" s="233"/>
      <c r="R10" s="233"/>
      <c r="S10" s="233"/>
      <c r="T10" s="233"/>
    </row>
    <row r="11" spans="1:20" s="2" customFormat="1" ht="15.75" customHeight="1" thickBot="1">
      <c r="A11" s="12"/>
      <c r="B11" s="7"/>
      <c r="C11" s="51"/>
      <c r="D11" s="14" t="str">
        <f>+'Financial Statements'!D6</f>
        <v>US$'000</v>
      </c>
      <c r="E11" s="14" t="str">
        <f>+'Financial Statements'!E6</f>
        <v>US$'000</v>
      </c>
      <c r="F11" s="14" t="str">
        <f>+'Financial Statements'!F6</f>
        <v>US$'000</v>
      </c>
      <c r="G11" s="14" t="str">
        <f>+'Financial Statements'!G6</f>
        <v>US$'000</v>
      </c>
      <c r="H11" s="138" t="str">
        <f>+'Financial Statements'!G6</f>
        <v>US$'000</v>
      </c>
      <c r="I11" s="14" t="s">
        <v>80</v>
      </c>
      <c r="J11" s="14" t="s">
        <v>80</v>
      </c>
      <c r="K11" s="14" t="s">
        <v>80</v>
      </c>
      <c r="L11" s="14" t="s">
        <v>80</v>
      </c>
      <c r="M11" s="133" t="s">
        <v>80</v>
      </c>
      <c r="N11" s="58"/>
      <c r="O11" s="227"/>
      <c r="P11" s="233"/>
      <c r="Q11" s="233"/>
      <c r="R11" s="233"/>
      <c r="S11" s="233"/>
      <c r="T11" s="233"/>
    </row>
    <row r="12" spans="1:20" s="2" customFormat="1" ht="15.75" customHeight="1" thickBot="1">
      <c r="A12" s="12"/>
      <c r="B12" s="7"/>
      <c r="C12" s="51"/>
      <c r="D12" s="57"/>
      <c r="E12" s="57"/>
      <c r="F12" s="57"/>
      <c r="G12" s="87"/>
      <c r="H12" s="57"/>
      <c r="I12" s="57"/>
      <c r="J12" s="57"/>
      <c r="K12" s="57"/>
      <c r="L12" s="57"/>
      <c r="M12" s="57"/>
      <c r="N12" s="58"/>
      <c r="O12" s="227"/>
      <c r="P12" s="233"/>
      <c r="Q12" s="233"/>
      <c r="R12" s="233"/>
      <c r="S12" s="233"/>
      <c r="T12" s="233"/>
    </row>
    <row r="13" spans="1:20" ht="15.75" customHeight="1" thickBot="1">
      <c r="B13" s="59" t="s">
        <v>1</v>
      </c>
      <c r="C13" s="62"/>
      <c r="D13" s="143" t="s">
        <v>16</v>
      </c>
      <c r="E13" s="121" t="e">
        <f t="shared" ref="E13:L13" si="2">+D13*(1+E7)</f>
        <v>#VALUE!</v>
      </c>
      <c r="F13" s="121" t="e">
        <f t="shared" si="2"/>
        <v>#VALUE!</v>
      </c>
      <c r="G13" s="122" t="e">
        <f>+F13*(1+G7)</f>
        <v>#VALUE!</v>
      </c>
      <c r="H13" s="123" t="e">
        <f t="shared" si="2"/>
        <v>#VALUE!</v>
      </c>
      <c r="I13" s="123" t="e">
        <f t="shared" si="2"/>
        <v>#VALUE!</v>
      </c>
      <c r="J13" s="123" t="e">
        <f t="shared" si="2"/>
        <v>#VALUE!</v>
      </c>
      <c r="K13" s="123" t="e">
        <f t="shared" si="2"/>
        <v>#VALUE!</v>
      </c>
      <c r="L13" s="128" t="e">
        <f t="shared" si="2"/>
        <v>#VALUE!</v>
      </c>
      <c r="M13" s="132"/>
      <c r="N13" s="31"/>
      <c r="O13" s="227"/>
      <c r="P13" s="233"/>
      <c r="Q13" s="233"/>
      <c r="R13" s="233"/>
      <c r="S13" s="233"/>
      <c r="T13" s="233"/>
    </row>
    <row r="14" spans="1:20" ht="15.75" customHeight="1">
      <c r="B14" s="7" t="s">
        <v>0</v>
      </c>
      <c r="C14" s="52"/>
      <c r="D14" s="121" t="e">
        <f>+D13*D8</f>
        <v>#VALUE!</v>
      </c>
      <c r="E14" s="121" t="e">
        <f>+E13*E8</f>
        <v>#VALUE!</v>
      </c>
      <c r="F14" s="121" t="e">
        <f>+F13*F8</f>
        <v>#VALUE!</v>
      </c>
      <c r="G14" s="122" t="e">
        <f t="shared" ref="G14:L14" si="3">+G13*G8</f>
        <v>#VALUE!</v>
      </c>
      <c r="H14" s="123" t="e">
        <f t="shared" si="3"/>
        <v>#VALUE!</v>
      </c>
      <c r="I14" s="123" t="e">
        <f t="shared" si="3"/>
        <v>#VALUE!</v>
      </c>
      <c r="J14" s="123" t="e">
        <f t="shared" si="3"/>
        <v>#VALUE!</v>
      </c>
      <c r="K14" s="123" t="e">
        <f t="shared" si="3"/>
        <v>#VALUE!</v>
      </c>
      <c r="L14" s="123" t="e">
        <f t="shared" si="3"/>
        <v>#VALUE!</v>
      </c>
      <c r="M14" s="123" t="e">
        <f>+L14*(1+'Key Value Drivers'!C21)</f>
        <v>#VALUE!</v>
      </c>
      <c r="N14" s="31"/>
      <c r="O14" s="227"/>
      <c r="P14" s="233"/>
      <c r="Q14" s="233"/>
      <c r="R14" s="233"/>
      <c r="S14" s="233"/>
      <c r="T14" s="233"/>
    </row>
    <row r="15" spans="1:20" ht="15.75" customHeight="1">
      <c r="B15" s="59" t="s">
        <v>2</v>
      </c>
      <c r="C15" s="64"/>
      <c r="D15" s="121" t="e">
        <f>+D13/E9</f>
        <v>#VALUE!</v>
      </c>
      <c r="E15" s="121" t="e">
        <f>+E13/F9</f>
        <v>#VALUE!</v>
      </c>
      <c r="F15" s="121" t="e">
        <f>+F13/G9</f>
        <v>#VALUE!</v>
      </c>
      <c r="G15" s="122" t="e">
        <f t="shared" ref="G15:L15" si="4">+G13/H9</f>
        <v>#VALUE!</v>
      </c>
      <c r="H15" s="123" t="e">
        <f t="shared" si="4"/>
        <v>#VALUE!</v>
      </c>
      <c r="I15" s="123" t="e">
        <f t="shared" si="4"/>
        <v>#VALUE!</v>
      </c>
      <c r="J15" s="123" t="e">
        <f t="shared" si="4"/>
        <v>#VALUE!</v>
      </c>
      <c r="K15" s="123" t="e">
        <f t="shared" si="4"/>
        <v>#VALUE!</v>
      </c>
      <c r="L15" s="123" t="e">
        <f t="shared" si="4"/>
        <v>#VALUE!</v>
      </c>
      <c r="M15" s="123" t="e">
        <f>+L15*(1+C21)</f>
        <v>#VALUE!</v>
      </c>
      <c r="N15" s="31"/>
      <c r="O15" s="227"/>
      <c r="P15" s="233"/>
      <c r="Q15" s="233"/>
      <c r="R15" s="233"/>
      <c r="S15" s="233"/>
      <c r="T15" s="233"/>
    </row>
    <row r="16" spans="1:20" ht="15.75" customHeight="1">
      <c r="B16" s="7" t="s">
        <v>13</v>
      </c>
      <c r="C16" s="52"/>
      <c r="D16" s="130"/>
      <c r="E16" s="121" t="e">
        <f t="shared" ref="E16:M16" si="5">+E14-(E15-D15)</f>
        <v>#VALUE!</v>
      </c>
      <c r="F16" s="121" t="e">
        <f t="shared" si="5"/>
        <v>#VALUE!</v>
      </c>
      <c r="G16" s="124" t="e">
        <f>+G14-(G15-F15)</f>
        <v>#VALUE!</v>
      </c>
      <c r="H16" s="123" t="e">
        <f t="shared" si="5"/>
        <v>#VALUE!</v>
      </c>
      <c r="I16" s="123" t="e">
        <f t="shared" si="5"/>
        <v>#VALUE!</v>
      </c>
      <c r="J16" s="123" t="e">
        <f t="shared" si="5"/>
        <v>#VALUE!</v>
      </c>
      <c r="K16" s="123" t="e">
        <f t="shared" si="5"/>
        <v>#VALUE!</v>
      </c>
      <c r="L16" s="123" t="e">
        <f t="shared" si="5"/>
        <v>#VALUE!</v>
      </c>
      <c r="M16" s="123" t="e">
        <f t="shared" si="5"/>
        <v>#VALUE!</v>
      </c>
      <c r="N16" s="31"/>
      <c r="O16" s="227"/>
      <c r="P16" s="233"/>
      <c r="Q16" s="233"/>
      <c r="R16" s="233"/>
      <c r="S16" s="233"/>
      <c r="T16" s="233"/>
    </row>
    <row r="17" spans="2:20" ht="15.75" customHeight="1">
      <c r="B17" s="59" t="s">
        <v>14</v>
      </c>
      <c r="C17" s="64"/>
      <c r="D17" s="130"/>
      <c r="E17" s="121" t="e">
        <f>+((E14/D15)-$C$20)*D15</f>
        <v>#VALUE!</v>
      </c>
      <c r="F17" s="121" t="e">
        <f>+((F14/E15)-$C$20)*E15</f>
        <v>#VALUE!</v>
      </c>
      <c r="G17" s="122" t="e">
        <f>+((G14/F15)-$C$20)*F15</f>
        <v>#VALUE!</v>
      </c>
      <c r="H17" s="123" t="e">
        <f t="shared" ref="H17:M17" si="6">+((H14/G15)-$C$20)*G15</f>
        <v>#VALUE!</v>
      </c>
      <c r="I17" s="123" t="e">
        <f t="shared" si="6"/>
        <v>#VALUE!</v>
      </c>
      <c r="J17" s="123" t="e">
        <f t="shared" si="6"/>
        <v>#VALUE!</v>
      </c>
      <c r="K17" s="123" t="e">
        <f t="shared" si="6"/>
        <v>#VALUE!</v>
      </c>
      <c r="L17" s="123" t="e">
        <f t="shared" si="6"/>
        <v>#VALUE!</v>
      </c>
      <c r="M17" s="123" t="e">
        <f t="shared" si="6"/>
        <v>#VALUE!</v>
      </c>
      <c r="N17" s="31"/>
      <c r="O17" s="227"/>
      <c r="P17" s="233"/>
      <c r="Q17" s="233"/>
      <c r="R17" s="233"/>
      <c r="S17" s="233"/>
      <c r="T17" s="233"/>
    </row>
    <row r="18" spans="2:20">
      <c r="B18" s="7" t="s">
        <v>55</v>
      </c>
      <c r="C18" s="52"/>
      <c r="D18" s="131" t="s">
        <v>16</v>
      </c>
      <c r="E18" s="125" t="e">
        <f>+E14/D15</f>
        <v>#VALUE!</v>
      </c>
      <c r="F18" s="125" t="e">
        <f>+F14/E15</f>
        <v>#VALUE!</v>
      </c>
      <c r="G18" s="126" t="e">
        <f>+G14/F15</f>
        <v>#VALUE!</v>
      </c>
      <c r="H18" s="125" t="e">
        <f t="shared" ref="H18:L18" si="7">+H14/G15</f>
        <v>#VALUE!</v>
      </c>
      <c r="I18" s="127" t="e">
        <f t="shared" si="7"/>
        <v>#VALUE!</v>
      </c>
      <c r="J18" s="127" t="e">
        <f t="shared" si="7"/>
        <v>#VALUE!</v>
      </c>
      <c r="K18" s="127" t="e">
        <f t="shared" si="7"/>
        <v>#VALUE!</v>
      </c>
      <c r="L18" s="127" t="e">
        <f t="shared" si="7"/>
        <v>#VALUE!</v>
      </c>
      <c r="M18" s="127" t="e">
        <f>+L18</f>
        <v>#VALUE!</v>
      </c>
      <c r="N18" s="31"/>
      <c r="O18" s="227"/>
      <c r="P18" s="233"/>
      <c r="Q18" s="233"/>
      <c r="R18" s="233"/>
      <c r="S18" s="233"/>
      <c r="T18" s="233"/>
    </row>
    <row r="19" spans="2:20" ht="13" thickBot="1">
      <c r="B19" s="68"/>
      <c r="C19" s="68"/>
      <c r="D19" s="69"/>
      <c r="E19" s="70"/>
      <c r="F19" s="69" t="s">
        <v>16</v>
      </c>
      <c r="G19" s="69"/>
      <c r="H19" s="69"/>
      <c r="I19" s="69"/>
      <c r="J19" s="69"/>
      <c r="K19" s="69"/>
      <c r="L19" s="69"/>
      <c r="M19" s="69"/>
      <c r="N19" s="31"/>
      <c r="O19" s="227"/>
      <c r="P19" s="233"/>
      <c r="Q19" s="233"/>
      <c r="R19" s="233"/>
      <c r="S19" s="233"/>
      <c r="T19" s="233"/>
    </row>
    <row r="20" spans="2:20">
      <c r="B20" s="67" t="s">
        <v>12</v>
      </c>
      <c r="C20" s="53" t="s">
        <v>77</v>
      </c>
      <c r="D20" s="30"/>
      <c r="E20" s="30"/>
      <c r="F20" s="30"/>
      <c r="G20" s="30"/>
      <c r="H20" s="30"/>
      <c r="I20" s="30" t="s">
        <v>16</v>
      </c>
      <c r="J20" s="53" t="s">
        <v>16</v>
      </c>
      <c r="K20" s="30" t="s">
        <v>16</v>
      </c>
      <c r="L20" s="30"/>
      <c r="M20" s="30"/>
      <c r="N20" s="31"/>
      <c r="O20" s="227"/>
      <c r="P20" s="233"/>
      <c r="Q20" s="233"/>
      <c r="R20" s="233"/>
      <c r="S20" s="233"/>
      <c r="T20" s="233"/>
    </row>
    <row r="21" spans="2:20" ht="13" thickBot="1">
      <c r="B21" s="71" t="s">
        <v>58</v>
      </c>
      <c r="C21" s="72" t="s">
        <v>78</v>
      </c>
      <c r="D21" s="73"/>
      <c r="E21" s="73"/>
      <c r="F21" s="73"/>
      <c r="G21" s="74"/>
      <c r="H21" s="74"/>
      <c r="I21" s="74"/>
      <c r="J21" s="74"/>
      <c r="K21" s="74"/>
      <c r="L21" s="74"/>
      <c r="M21" s="74"/>
      <c r="N21" s="12"/>
      <c r="O21" s="227"/>
      <c r="P21" s="233"/>
      <c r="Q21" s="233"/>
      <c r="R21" s="233"/>
      <c r="S21" s="233"/>
      <c r="T21" s="233"/>
    </row>
    <row r="22" spans="2:20" ht="13" thickBot="1">
      <c r="B22" s="12"/>
      <c r="C22" s="12"/>
      <c r="D22" s="35"/>
      <c r="E22" s="30"/>
      <c r="F22" s="30"/>
      <c r="G22" s="30"/>
      <c r="H22" s="30"/>
      <c r="I22" s="30"/>
      <c r="J22" s="30"/>
      <c r="K22" s="30"/>
      <c r="L22" s="30"/>
      <c r="M22" s="30"/>
      <c r="N22" s="12"/>
      <c r="O22" s="227"/>
      <c r="P22" s="233"/>
      <c r="Q22" s="233"/>
      <c r="R22" s="233"/>
      <c r="S22" s="233"/>
      <c r="T22" s="233"/>
    </row>
    <row r="23" spans="2:20" ht="13" thickBot="1">
      <c r="B23" s="144"/>
      <c r="C23" s="12" t="s">
        <v>133</v>
      </c>
      <c r="D23" s="35"/>
      <c r="E23" s="30"/>
      <c r="F23" s="30"/>
      <c r="G23" s="30"/>
      <c r="H23" s="30"/>
      <c r="I23" s="30"/>
      <c r="J23" s="30"/>
      <c r="K23" s="30"/>
      <c r="L23" s="30"/>
      <c r="M23" s="30"/>
      <c r="N23" s="12"/>
      <c r="O23" s="227"/>
      <c r="P23" s="233"/>
      <c r="Q23" s="233"/>
      <c r="R23" s="233"/>
      <c r="S23" s="233"/>
      <c r="T23" s="233"/>
    </row>
    <row r="24" spans="2:20">
      <c r="B24" s="135"/>
      <c r="C24" s="12" t="s">
        <v>132</v>
      </c>
      <c r="D24" s="35"/>
      <c r="E24" s="30"/>
      <c r="F24" s="30"/>
      <c r="G24" s="30"/>
      <c r="H24" s="30"/>
      <c r="I24" s="30"/>
      <c r="J24" s="30"/>
      <c r="K24" s="30"/>
      <c r="L24" s="30"/>
      <c r="M24" s="30"/>
      <c r="N24" s="12"/>
      <c r="O24" s="227"/>
      <c r="P24" s="233"/>
      <c r="Q24" s="233"/>
      <c r="R24" s="233"/>
      <c r="S24" s="233"/>
      <c r="T24" s="233"/>
    </row>
    <row r="25" spans="2:20">
      <c r="B25" s="136"/>
      <c r="C25" s="12" t="s">
        <v>131</v>
      </c>
      <c r="D25" s="35"/>
      <c r="E25" s="30"/>
      <c r="F25" s="30"/>
      <c r="G25" s="30"/>
      <c r="H25" s="30"/>
      <c r="I25" s="30"/>
      <c r="J25" s="30"/>
      <c r="K25" s="30"/>
      <c r="L25" s="30"/>
      <c r="M25" s="30"/>
      <c r="N25" s="12"/>
      <c r="O25" s="227"/>
      <c r="P25" s="233"/>
      <c r="Q25" s="233"/>
      <c r="R25" s="233"/>
      <c r="S25" s="233"/>
      <c r="T25" s="233"/>
    </row>
    <row r="26" spans="2:20">
      <c r="B26" s="31"/>
      <c r="C26" s="12"/>
      <c r="D26" s="35"/>
      <c r="E26" s="35"/>
      <c r="F26" s="30"/>
      <c r="G26" s="30"/>
      <c r="H26" s="30"/>
      <c r="I26" s="30"/>
      <c r="J26" s="30"/>
      <c r="K26" s="30"/>
      <c r="L26" s="30"/>
      <c r="M26" s="30"/>
      <c r="N26" s="12"/>
      <c r="O26" s="227"/>
      <c r="P26" s="233"/>
      <c r="Q26" s="233"/>
      <c r="R26" s="233"/>
      <c r="S26" s="233"/>
      <c r="T26" s="233"/>
    </row>
    <row r="27" spans="2:20" ht="16">
      <c r="B27" s="251" t="s">
        <v>60</v>
      </c>
      <c r="C27" s="243"/>
      <c r="D27" s="243"/>
      <c r="E27" s="243"/>
      <c r="F27" s="243"/>
      <c r="G27" s="243"/>
      <c r="H27" s="243"/>
      <c r="I27" s="243"/>
      <c r="J27" s="243"/>
      <c r="K27" s="243"/>
      <c r="L27" s="243"/>
      <c r="M27" s="243"/>
      <c r="N27" s="252"/>
      <c r="O27" s="251" t="s">
        <v>65</v>
      </c>
      <c r="P27" s="243"/>
      <c r="Q27" s="243"/>
      <c r="R27" s="243"/>
      <c r="S27" s="243"/>
      <c r="T27" s="243"/>
    </row>
    <row r="28" spans="2:20">
      <c r="B28" s="227" t="s">
        <v>71</v>
      </c>
      <c r="C28" s="228"/>
      <c r="D28" s="228"/>
      <c r="E28" s="228"/>
      <c r="F28" s="228"/>
      <c r="G28" s="228"/>
      <c r="H28" s="228"/>
      <c r="I28" s="228"/>
      <c r="J28" s="228"/>
      <c r="K28" s="228"/>
      <c r="L28" s="228"/>
      <c r="M28" s="228"/>
      <c r="N28" s="250"/>
      <c r="O28" s="242" t="s">
        <v>72</v>
      </c>
      <c r="P28" s="243"/>
      <c r="Q28" s="243"/>
      <c r="R28" s="243"/>
      <c r="S28" s="243"/>
      <c r="T28" s="243"/>
    </row>
    <row r="29" spans="2:20">
      <c r="B29" s="227"/>
      <c r="C29" s="228"/>
      <c r="D29" s="228"/>
      <c r="E29" s="228"/>
      <c r="F29" s="228"/>
      <c r="G29" s="228"/>
      <c r="H29" s="228"/>
      <c r="I29" s="228"/>
      <c r="J29" s="228"/>
      <c r="K29" s="228"/>
      <c r="L29" s="228"/>
      <c r="M29" s="228"/>
      <c r="N29" s="250"/>
      <c r="O29" s="244"/>
      <c r="P29" s="243"/>
      <c r="Q29" s="243"/>
      <c r="R29" s="243"/>
      <c r="S29" s="243"/>
      <c r="T29" s="243"/>
    </row>
    <row r="30" spans="2:20">
      <c r="B30" s="25"/>
      <c r="C30" s="1"/>
      <c r="D30" s="36"/>
      <c r="E30" s="36"/>
      <c r="F30" s="36"/>
      <c r="G30" s="36"/>
      <c r="H30" s="36"/>
      <c r="I30" s="36"/>
      <c r="J30" s="36"/>
      <c r="K30" s="36"/>
      <c r="L30" s="36"/>
      <c r="M30" s="36"/>
      <c r="N30" s="26"/>
      <c r="O30" s="244"/>
      <c r="P30" s="243"/>
      <c r="Q30" s="243"/>
      <c r="R30" s="243"/>
      <c r="S30" s="243"/>
      <c r="T30" s="243"/>
    </row>
    <row r="31" spans="2:20">
      <c r="B31" s="25"/>
      <c r="C31" s="1"/>
      <c r="D31" s="36"/>
      <c r="E31" s="36"/>
      <c r="F31" s="36"/>
      <c r="G31" s="36"/>
      <c r="H31" s="36"/>
      <c r="I31" s="36"/>
      <c r="J31" s="36"/>
      <c r="K31" s="36"/>
      <c r="L31" s="36"/>
      <c r="M31" s="36"/>
      <c r="N31" s="26"/>
      <c r="O31" s="244"/>
      <c r="P31" s="243"/>
      <c r="Q31" s="243"/>
      <c r="R31" s="243"/>
      <c r="S31" s="243"/>
      <c r="T31" s="243"/>
    </row>
    <row r="32" spans="2:20">
      <c r="B32" s="25"/>
      <c r="C32" s="1"/>
      <c r="D32" s="36"/>
      <c r="E32" s="36"/>
      <c r="F32" s="36"/>
      <c r="G32" s="36"/>
      <c r="H32" s="36"/>
      <c r="I32" s="36"/>
      <c r="J32" s="36"/>
      <c r="K32" s="36"/>
      <c r="L32" s="36"/>
      <c r="M32" s="36"/>
      <c r="N32" s="26"/>
      <c r="O32" s="244"/>
      <c r="P32" s="243"/>
      <c r="Q32" s="243"/>
      <c r="R32" s="243"/>
      <c r="S32" s="243"/>
      <c r="T32" s="243"/>
    </row>
    <row r="33" spans="2:20">
      <c r="B33" s="25"/>
      <c r="C33" s="50"/>
      <c r="D33" s="75"/>
      <c r="E33" s="75"/>
      <c r="F33" s="36"/>
      <c r="G33" s="36"/>
      <c r="H33" s="36"/>
      <c r="I33" s="36"/>
      <c r="J33" s="36"/>
      <c r="K33" s="36"/>
      <c r="L33" s="36"/>
      <c r="M33" s="36"/>
      <c r="N33" s="26"/>
      <c r="O33" s="244"/>
      <c r="P33" s="243"/>
      <c r="Q33" s="243"/>
      <c r="R33" s="243"/>
      <c r="S33" s="243"/>
      <c r="T33" s="243"/>
    </row>
    <row r="34" spans="2:20">
      <c r="B34" s="25"/>
      <c r="C34" s="50"/>
      <c r="D34" s="75"/>
      <c r="E34" s="75"/>
      <c r="F34" s="36"/>
      <c r="G34" s="36"/>
      <c r="H34" s="36"/>
      <c r="I34" s="36"/>
      <c r="J34" s="36"/>
      <c r="K34" s="36"/>
      <c r="L34" s="36"/>
      <c r="M34" s="36"/>
      <c r="N34" s="26"/>
      <c r="O34" s="244"/>
      <c r="P34" s="243"/>
      <c r="Q34" s="243"/>
      <c r="R34" s="243"/>
      <c r="S34" s="243"/>
      <c r="T34" s="243"/>
    </row>
    <row r="35" spans="2:20">
      <c r="B35" s="25"/>
      <c r="C35" s="50"/>
      <c r="D35" s="77"/>
      <c r="E35" s="75"/>
      <c r="F35" s="36"/>
      <c r="G35" s="36"/>
      <c r="H35" s="36"/>
      <c r="I35" s="36"/>
      <c r="J35" s="36"/>
      <c r="K35" s="36"/>
      <c r="L35" s="36"/>
      <c r="M35" s="36"/>
      <c r="N35" s="26"/>
      <c r="O35" s="244"/>
      <c r="P35" s="243"/>
      <c r="Q35" s="243"/>
      <c r="R35" s="243"/>
      <c r="S35" s="243"/>
      <c r="T35" s="243"/>
    </row>
    <row r="36" spans="2:20">
      <c r="B36" s="25"/>
      <c r="C36" s="76"/>
      <c r="D36" s="77"/>
      <c r="E36" s="75"/>
      <c r="F36" s="36"/>
      <c r="G36" s="36"/>
      <c r="H36" s="36"/>
      <c r="I36" s="36"/>
      <c r="J36" s="36"/>
      <c r="K36" s="36"/>
      <c r="L36" s="36"/>
      <c r="M36" s="36"/>
      <c r="N36" s="26"/>
      <c r="O36" s="244"/>
      <c r="P36" s="243"/>
      <c r="Q36" s="243"/>
      <c r="R36" s="243"/>
      <c r="S36" s="243"/>
      <c r="T36" s="243"/>
    </row>
    <row r="37" spans="2:20">
      <c r="B37" s="25"/>
      <c r="C37" s="76"/>
      <c r="D37" s="77"/>
      <c r="E37" s="75"/>
      <c r="F37" s="36"/>
      <c r="G37" s="36"/>
      <c r="H37" s="36"/>
      <c r="I37" s="36"/>
      <c r="J37" s="36"/>
      <c r="K37" s="36"/>
      <c r="L37" s="36"/>
      <c r="M37" s="36"/>
      <c r="N37" s="26"/>
      <c r="O37" s="244"/>
      <c r="P37" s="243"/>
      <c r="Q37" s="243"/>
      <c r="R37" s="243"/>
      <c r="S37" s="243"/>
      <c r="T37" s="243"/>
    </row>
    <row r="38" spans="2:20">
      <c r="B38" s="25"/>
      <c r="C38" s="1"/>
      <c r="D38" s="36"/>
      <c r="E38" s="36"/>
      <c r="F38" s="36"/>
      <c r="G38" s="36"/>
      <c r="H38" s="36"/>
      <c r="I38" s="36"/>
      <c r="J38" s="36"/>
      <c r="K38" s="36"/>
      <c r="L38" s="36"/>
      <c r="M38" s="36"/>
      <c r="N38" s="26"/>
      <c r="O38" s="244"/>
      <c r="P38" s="243"/>
      <c r="Q38" s="243"/>
      <c r="R38" s="243"/>
      <c r="S38" s="243"/>
      <c r="T38" s="243"/>
    </row>
    <row r="39" spans="2:20">
      <c r="B39" s="25"/>
      <c r="C39" s="1"/>
      <c r="D39" s="36"/>
      <c r="E39" s="36"/>
      <c r="F39" s="36"/>
      <c r="G39" s="36"/>
      <c r="H39" s="36"/>
      <c r="I39" s="36"/>
      <c r="J39" s="36"/>
      <c r="K39" s="36"/>
      <c r="L39" s="36"/>
      <c r="M39" s="36"/>
      <c r="N39" s="26"/>
      <c r="O39" s="244"/>
      <c r="P39" s="243"/>
      <c r="Q39" s="243"/>
      <c r="R39" s="243"/>
      <c r="S39" s="243"/>
      <c r="T39" s="243"/>
    </row>
    <row r="40" spans="2:20">
      <c r="B40" s="25"/>
      <c r="C40" s="1"/>
      <c r="D40" s="36"/>
      <c r="E40" s="36"/>
      <c r="F40" s="36"/>
      <c r="G40" s="36"/>
      <c r="H40" s="36"/>
      <c r="I40" s="36"/>
      <c r="J40" s="36"/>
      <c r="K40" s="36"/>
      <c r="L40" s="36"/>
      <c r="M40" s="36"/>
      <c r="N40" s="26"/>
      <c r="O40" s="244"/>
      <c r="P40" s="243"/>
      <c r="Q40" s="243"/>
      <c r="R40" s="243"/>
      <c r="S40" s="243"/>
      <c r="T40" s="243"/>
    </row>
    <row r="41" spans="2:20">
      <c r="B41" s="25"/>
      <c r="C41" s="1"/>
      <c r="D41" s="36"/>
      <c r="E41" s="36"/>
      <c r="F41" s="36"/>
      <c r="G41" s="36"/>
      <c r="H41" s="36"/>
      <c r="I41" s="36"/>
      <c r="J41" s="36"/>
      <c r="K41" s="36"/>
      <c r="L41" s="36"/>
      <c r="M41" s="36"/>
      <c r="N41" s="26"/>
      <c r="O41" s="244"/>
      <c r="P41" s="243"/>
      <c r="Q41" s="243"/>
      <c r="R41" s="243"/>
      <c r="S41" s="243"/>
      <c r="T41" s="243"/>
    </row>
    <row r="42" spans="2:20">
      <c r="B42" s="25"/>
      <c r="C42" s="1"/>
      <c r="D42" s="36"/>
      <c r="E42" s="36"/>
      <c r="F42" s="36"/>
      <c r="G42" s="36"/>
      <c r="H42" s="36"/>
      <c r="I42" s="36"/>
      <c r="J42" s="36"/>
      <c r="K42" s="36"/>
      <c r="L42" s="36"/>
      <c r="M42" s="36"/>
      <c r="N42" s="26"/>
      <c r="O42" s="244"/>
      <c r="P42" s="243"/>
      <c r="Q42" s="243"/>
      <c r="R42" s="243"/>
      <c r="S42" s="243"/>
      <c r="T42" s="243"/>
    </row>
    <row r="43" spans="2:20">
      <c r="B43" s="25"/>
      <c r="C43" s="1"/>
      <c r="D43" s="36"/>
      <c r="E43" s="36"/>
      <c r="F43" s="36"/>
      <c r="G43" s="36"/>
      <c r="H43" s="36"/>
      <c r="I43" s="36"/>
      <c r="J43" s="36"/>
      <c r="K43" s="36"/>
      <c r="L43" s="36"/>
      <c r="M43" s="36"/>
      <c r="N43" s="26"/>
      <c r="O43" s="244"/>
      <c r="P43" s="243"/>
      <c r="Q43" s="243"/>
      <c r="R43" s="243"/>
      <c r="S43" s="243"/>
      <c r="T43" s="243"/>
    </row>
    <row r="44" spans="2:20">
      <c r="B44" s="25"/>
      <c r="C44" s="1"/>
      <c r="D44" s="36"/>
      <c r="E44" s="36"/>
      <c r="F44" s="36"/>
      <c r="G44" s="36"/>
      <c r="H44" s="36"/>
      <c r="I44" s="36"/>
      <c r="J44" s="36"/>
      <c r="K44" s="36"/>
      <c r="L44" s="36"/>
      <c r="M44" s="36"/>
      <c r="N44" s="26"/>
      <c r="O44" s="244"/>
      <c r="P44" s="243"/>
      <c r="Q44" s="243"/>
      <c r="R44" s="243"/>
      <c r="S44" s="243"/>
      <c r="T44" s="243"/>
    </row>
    <row r="45" spans="2:20">
      <c r="B45" s="25"/>
      <c r="C45" s="1"/>
      <c r="D45" s="36"/>
      <c r="E45" s="36"/>
      <c r="F45" s="36"/>
      <c r="G45" s="36"/>
      <c r="H45" s="36"/>
      <c r="I45" s="36"/>
      <c r="J45" s="36"/>
      <c r="K45" s="36"/>
      <c r="L45" s="36"/>
      <c r="M45" s="36"/>
      <c r="N45" s="26"/>
      <c r="O45" s="244"/>
      <c r="P45" s="243"/>
      <c r="Q45" s="243"/>
      <c r="R45" s="243"/>
      <c r="S45" s="243"/>
      <c r="T45" s="243"/>
    </row>
    <row r="46" spans="2:20">
      <c r="B46" s="25"/>
      <c r="C46" s="1"/>
      <c r="D46" s="36"/>
      <c r="E46" s="36"/>
      <c r="F46" s="36"/>
      <c r="G46" s="36"/>
      <c r="H46" s="36"/>
      <c r="I46" s="36"/>
      <c r="J46" s="36"/>
      <c r="K46" s="36"/>
      <c r="L46" s="36"/>
      <c r="M46" s="36"/>
      <c r="N46" s="26"/>
      <c r="O46" s="244"/>
      <c r="P46" s="243"/>
      <c r="Q46" s="243"/>
      <c r="R46" s="243"/>
      <c r="S46" s="243"/>
      <c r="T46" s="243"/>
    </row>
    <row r="47" spans="2:20">
      <c r="B47" s="25"/>
      <c r="C47" s="1"/>
      <c r="D47" s="36"/>
      <c r="E47" s="36"/>
      <c r="F47" s="36"/>
      <c r="G47" s="36"/>
      <c r="H47" s="36"/>
      <c r="I47" s="36"/>
      <c r="J47" s="36"/>
      <c r="K47" s="36"/>
      <c r="L47" s="36"/>
      <c r="M47" s="36"/>
      <c r="N47" s="26"/>
      <c r="O47" s="244"/>
      <c r="P47" s="243"/>
      <c r="Q47" s="243"/>
      <c r="R47" s="243"/>
      <c r="S47" s="243"/>
      <c r="T47" s="243"/>
    </row>
    <row r="48" spans="2:20">
      <c r="B48" s="25"/>
      <c r="C48" s="1"/>
      <c r="D48" s="36"/>
      <c r="E48" s="36"/>
      <c r="F48" s="36"/>
      <c r="G48" s="36"/>
      <c r="H48" s="36"/>
      <c r="I48" s="36"/>
      <c r="J48" s="36"/>
      <c r="K48" s="36"/>
      <c r="L48" s="36"/>
      <c r="M48" s="36"/>
      <c r="N48" s="26"/>
      <c r="O48" s="244"/>
      <c r="P48" s="243"/>
      <c r="Q48" s="243"/>
      <c r="R48" s="243"/>
      <c r="S48" s="243"/>
      <c r="T48" s="243"/>
    </row>
    <row r="49" spans="1:20">
      <c r="B49" s="25"/>
      <c r="C49" s="1"/>
      <c r="D49" s="36"/>
      <c r="E49" s="36"/>
      <c r="F49" s="36"/>
      <c r="G49" s="36"/>
      <c r="H49" s="36"/>
      <c r="I49" s="36"/>
      <c r="J49" s="36"/>
      <c r="K49" s="36"/>
      <c r="L49" s="36"/>
      <c r="M49" s="36"/>
      <c r="N49" s="26"/>
      <c r="O49" s="244"/>
      <c r="P49" s="243"/>
      <c r="Q49" s="243"/>
      <c r="R49" s="243"/>
      <c r="S49" s="243"/>
      <c r="T49" s="243"/>
    </row>
    <row r="50" spans="1:20">
      <c r="B50" s="25"/>
      <c r="C50" s="1"/>
      <c r="D50" s="36"/>
      <c r="E50" s="36"/>
      <c r="F50" s="36"/>
      <c r="G50" s="36"/>
      <c r="H50" s="36"/>
      <c r="I50" s="36"/>
      <c r="J50" s="36"/>
      <c r="K50" s="36"/>
      <c r="L50" s="36"/>
      <c r="M50" s="36"/>
      <c r="N50" s="26"/>
      <c r="O50" s="244"/>
      <c r="P50" s="243"/>
      <c r="Q50" s="243"/>
      <c r="R50" s="243"/>
      <c r="S50" s="243"/>
      <c r="T50" s="243"/>
    </row>
    <row r="51" spans="1:20">
      <c r="B51" s="25"/>
      <c r="C51" s="1"/>
      <c r="D51" s="36"/>
      <c r="E51" s="36"/>
      <c r="F51" s="36"/>
      <c r="G51" s="36"/>
      <c r="H51" s="36"/>
      <c r="I51" s="36"/>
      <c r="J51" s="36"/>
      <c r="K51" s="36"/>
      <c r="L51" s="36"/>
      <c r="M51" s="36"/>
      <c r="N51" s="26"/>
      <c r="O51" s="244"/>
      <c r="P51" s="243"/>
      <c r="Q51" s="243"/>
      <c r="R51" s="243"/>
      <c r="S51" s="243"/>
      <c r="T51" s="243"/>
    </row>
    <row r="52" spans="1:20">
      <c r="B52" s="25"/>
      <c r="C52" s="1"/>
      <c r="D52" s="36"/>
      <c r="E52" s="36"/>
      <c r="F52" s="36"/>
      <c r="G52" s="36"/>
      <c r="H52" s="36"/>
      <c r="I52" s="36"/>
      <c r="J52" s="36"/>
      <c r="K52" s="36"/>
      <c r="L52" s="36"/>
      <c r="M52" s="36"/>
      <c r="N52" s="26"/>
      <c r="O52" s="244"/>
      <c r="P52" s="243"/>
      <c r="Q52" s="243"/>
      <c r="R52" s="243"/>
      <c r="S52" s="243"/>
      <c r="T52" s="243"/>
    </row>
    <row r="53" spans="1:20">
      <c r="B53" s="25"/>
      <c r="C53" s="1"/>
      <c r="D53" s="36"/>
      <c r="E53" s="36"/>
      <c r="F53" s="36"/>
      <c r="G53" s="36"/>
      <c r="H53" s="36"/>
      <c r="I53" s="36"/>
      <c r="J53" s="36"/>
      <c r="K53" s="36"/>
      <c r="L53" s="36"/>
      <c r="M53" s="36"/>
      <c r="N53" s="26"/>
      <c r="O53" s="244"/>
      <c r="P53" s="243"/>
      <c r="Q53" s="243"/>
      <c r="R53" s="243"/>
      <c r="S53" s="243"/>
      <c r="T53" s="243"/>
    </row>
    <row r="54" spans="1:20">
      <c r="B54" s="25"/>
      <c r="C54" s="1"/>
      <c r="D54" s="36"/>
      <c r="E54" s="36"/>
      <c r="F54" s="36"/>
      <c r="G54" s="36"/>
      <c r="H54" s="36"/>
      <c r="I54" s="36"/>
      <c r="J54" s="36"/>
      <c r="K54" s="36"/>
      <c r="L54" s="36"/>
      <c r="M54" s="36"/>
      <c r="N54" s="26"/>
      <c r="O54" s="244"/>
      <c r="P54" s="243"/>
      <c r="Q54" s="243"/>
      <c r="R54" s="243"/>
      <c r="S54" s="243"/>
      <c r="T54" s="243"/>
    </row>
    <row r="55" spans="1:20">
      <c r="B55" s="25"/>
      <c r="C55" s="1"/>
      <c r="D55" s="36"/>
      <c r="E55" s="36"/>
      <c r="F55" s="36"/>
      <c r="G55" s="36"/>
      <c r="H55" s="36"/>
      <c r="I55" s="36"/>
      <c r="J55" s="36"/>
      <c r="K55" s="36"/>
      <c r="L55" s="36"/>
      <c r="M55" s="36"/>
      <c r="N55" s="26"/>
      <c r="O55" s="244"/>
      <c r="P55" s="243"/>
      <c r="Q55" s="243"/>
      <c r="R55" s="243"/>
      <c r="S55" s="243"/>
      <c r="T55" s="243"/>
    </row>
    <row r="56" spans="1:20">
      <c r="A56" s="10"/>
      <c r="B56" s="25"/>
      <c r="C56" s="1"/>
      <c r="D56" s="36"/>
      <c r="E56" s="36"/>
      <c r="F56" s="36"/>
      <c r="G56" s="36"/>
      <c r="H56" s="36"/>
      <c r="I56" s="36"/>
      <c r="J56" s="36"/>
      <c r="K56" s="36"/>
      <c r="L56" s="36"/>
      <c r="M56" s="36"/>
      <c r="N56" s="26"/>
      <c r="O56" s="244"/>
      <c r="P56" s="243"/>
      <c r="Q56" s="243"/>
      <c r="R56" s="243"/>
      <c r="S56" s="243"/>
      <c r="T56" s="243"/>
    </row>
    <row r="57" spans="1:20">
      <c r="A57" s="10"/>
      <c r="B57" s="25"/>
      <c r="C57" s="1"/>
      <c r="D57" s="36"/>
      <c r="E57" s="36"/>
      <c r="F57" s="36"/>
      <c r="G57" s="36"/>
      <c r="H57" s="36"/>
      <c r="I57" s="36"/>
      <c r="J57" s="36"/>
      <c r="K57" s="36"/>
      <c r="L57" s="36"/>
      <c r="M57" s="36"/>
      <c r="N57" s="26"/>
      <c r="O57" s="244"/>
      <c r="P57" s="243"/>
      <c r="Q57" s="243"/>
      <c r="R57" s="243"/>
      <c r="S57" s="243"/>
      <c r="T57" s="243"/>
    </row>
    <row r="58" spans="1:20">
      <c r="B58" s="25"/>
      <c r="C58" s="1"/>
      <c r="D58" s="36"/>
      <c r="E58" s="36"/>
      <c r="F58" s="36"/>
      <c r="G58" s="36"/>
      <c r="H58" s="36"/>
      <c r="I58" s="36"/>
      <c r="J58" s="36"/>
      <c r="K58" s="36"/>
      <c r="L58" s="36"/>
      <c r="M58" s="36"/>
      <c r="N58" s="26"/>
      <c r="O58" s="244"/>
      <c r="P58" s="243"/>
      <c r="Q58" s="243"/>
      <c r="R58" s="243"/>
      <c r="S58" s="243"/>
      <c r="T58" s="243"/>
    </row>
    <row r="59" spans="1:20">
      <c r="B59" s="25"/>
      <c r="C59" s="1"/>
      <c r="D59" s="36"/>
      <c r="E59" s="36"/>
      <c r="F59" s="36"/>
      <c r="G59" s="36"/>
      <c r="H59" s="36"/>
      <c r="I59" s="36"/>
      <c r="J59" s="36"/>
      <c r="K59" s="36"/>
      <c r="L59" s="36"/>
      <c r="M59" s="36"/>
      <c r="N59" s="26"/>
      <c r="O59" s="244"/>
      <c r="P59" s="243"/>
      <c r="Q59" s="243"/>
      <c r="R59" s="243"/>
      <c r="S59" s="243"/>
      <c r="T59" s="243"/>
    </row>
    <row r="60" spans="1:20">
      <c r="B60" s="25"/>
      <c r="C60" s="1"/>
      <c r="D60" s="36"/>
      <c r="E60" s="36"/>
      <c r="F60" s="36"/>
      <c r="G60" s="36"/>
      <c r="H60" s="36"/>
      <c r="I60" s="36"/>
      <c r="J60" s="36"/>
      <c r="K60" s="36"/>
      <c r="L60" s="36"/>
      <c r="M60" s="36"/>
      <c r="N60" s="26"/>
      <c r="O60" s="244"/>
      <c r="P60" s="243"/>
      <c r="Q60" s="243"/>
      <c r="R60" s="243"/>
      <c r="S60" s="243"/>
      <c r="T60" s="243"/>
    </row>
    <row r="61" spans="1:20">
      <c r="B61" s="25"/>
      <c r="C61" s="1"/>
      <c r="D61" s="36"/>
      <c r="E61" s="36"/>
      <c r="F61" s="36"/>
      <c r="G61" s="36"/>
      <c r="H61" s="36"/>
      <c r="I61" s="36"/>
      <c r="J61" s="36"/>
      <c r="K61" s="36"/>
      <c r="L61" s="36"/>
      <c r="M61" s="36"/>
      <c r="N61" s="26"/>
      <c r="O61" s="244"/>
      <c r="P61" s="243"/>
      <c r="Q61" s="243"/>
      <c r="R61" s="243"/>
      <c r="S61" s="243"/>
      <c r="T61" s="243"/>
    </row>
    <row r="62" spans="1:20">
      <c r="B62" s="25"/>
      <c r="C62" s="1"/>
      <c r="D62" s="36"/>
      <c r="E62" s="36"/>
      <c r="F62" s="36"/>
      <c r="G62" s="36"/>
      <c r="H62" s="36"/>
      <c r="I62" s="36"/>
      <c r="J62" s="36"/>
      <c r="K62" s="36"/>
      <c r="L62" s="36"/>
      <c r="M62" s="36"/>
      <c r="N62" s="26"/>
      <c r="O62" s="244"/>
      <c r="P62" s="243"/>
      <c r="Q62" s="243"/>
      <c r="R62" s="243"/>
      <c r="S62" s="243"/>
      <c r="T62" s="243"/>
    </row>
    <row r="63" spans="1:20">
      <c r="B63" s="25"/>
      <c r="C63" s="1"/>
      <c r="D63" s="36"/>
      <c r="E63" s="36"/>
      <c r="F63" s="36"/>
      <c r="G63" s="36"/>
      <c r="H63" s="36"/>
      <c r="I63" s="36"/>
      <c r="J63" s="36"/>
      <c r="K63" s="36"/>
      <c r="L63" s="36"/>
      <c r="M63" s="36"/>
      <c r="N63" s="26"/>
      <c r="O63" s="244"/>
      <c r="P63" s="243"/>
      <c r="Q63" s="243"/>
      <c r="R63" s="243"/>
      <c r="S63" s="243"/>
      <c r="T63" s="243"/>
    </row>
    <row r="64" spans="1:20">
      <c r="B64" s="25"/>
      <c r="C64" s="1"/>
      <c r="D64" s="36"/>
      <c r="E64" s="36"/>
      <c r="F64" s="36"/>
      <c r="G64" s="36"/>
      <c r="H64" s="36"/>
      <c r="I64" s="36"/>
      <c r="J64" s="36"/>
      <c r="K64" s="36"/>
      <c r="L64" s="36"/>
      <c r="M64" s="36"/>
      <c r="N64" s="26"/>
      <c r="O64" s="244"/>
      <c r="P64" s="243"/>
      <c r="Q64" s="243"/>
      <c r="R64" s="243"/>
      <c r="S64" s="243"/>
      <c r="T64" s="243"/>
    </row>
    <row r="65" spans="2:20">
      <c r="B65" s="25"/>
      <c r="C65" s="1"/>
      <c r="D65" s="36"/>
      <c r="E65" s="36"/>
      <c r="F65" s="36"/>
      <c r="G65" s="36"/>
      <c r="H65" s="36"/>
      <c r="I65" s="36"/>
      <c r="J65" s="36"/>
      <c r="K65" s="36"/>
      <c r="L65" s="36"/>
      <c r="M65" s="36"/>
      <c r="N65" s="26"/>
      <c r="O65" s="244"/>
      <c r="P65" s="243"/>
      <c r="Q65" s="243"/>
      <c r="R65" s="243"/>
      <c r="S65" s="243"/>
      <c r="T65" s="243"/>
    </row>
    <row r="66" spans="2:20">
      <c r="B66" s="25"/>
      <c r="C66" s="1"/>
      <c r="D66" s="36"/>
      <c r="E66" s="36"/>
      <c r="F66" s="36"/>
      <c r="G66" s="36"/>
      <c r="H66" s="36"/>
      <c r="I66" s="36"/>
      <c r="J66" s="36"/>
      <c r="K66" s="36"/>
      <c r="L66" s="36"/>
      <c r="M66" s="36"/>
      <c r="N66" s="26"/>
      <c r="O66" s="244"/>
      <c r="P66" s="243"/>
      <c r="Q66" s="243"/>
      <c r="R66" s="243"/>
      <c r="S66" s="243"/>
      <c r="T66" s="243"/>
    </row>
    <row r="67" spans="2:20">
      <c r="B67" s="25"/>
      <c r="C67" s="1"/>
      <c r="D67" s="36"/>
      <c r="E67" s="36"/>
      <c r="F67" s="36"/>
      <c r="G67" s="36"/>
      <c r="H67" s="36"/>
      <c r="I67" s="36"/>
      <c r="J67" s="36"/>
      <c r="K67" s="36"/>
      <c r="L67" s="36"/>
      <c r="M67" s="36"/>
      <c r="N67" s="26"/>
      <c r="O67" s="244"/>
      <c r="P67" s="243"/>
      <c r="Q67" s="243"/>
      <c r="R67" s="243"/>
      <c r="S67" s="243"/>
      <c r="T67" s="243"/>
    </row>
    <row r="68" spans="2:20">
      <c r="B68" s="25"/>
      <c r="C68" s="1"/>
      <c r="D68" s="36"/>
      <c r="E68" s="36"/>
      <c r="F68" s="36"/>
      <c r="G68" s="36"/>
      <c r="H68" s="36"/>
      <c r="I68" s="36"/>
      <c r="J68" s="36"/>
      <c r="K68" s="36"/>
      <c r="L68" s="36"/>
      <c r="M68" s="36"/>
      <c r="N68" s="26"/>
      <c r="O68" s="244"/>
      <c r="P68" s="243"/>
      <c r="Q68" s="243"/>
      <c r="R68" s="243"/>
      <c r="S68" s="243"/>
      <c r="T68" s="243"/>
    </row>
    <row r="69" spans="2:20">
      <c r="B69" s="25"/>
      <c r="C69" s="1"/>
      <c r="D69" s="36"/>
      <c r="E69" s="36"/>
      <c r="F69" s="36"/>
      <c r="G69" s="36"/>
      <c r="H69" s="36"/>
      <c r="I69" s="36"/>
      <c r="J69" s="36"/>
      <c r="K69" s="36"/>
      <c r="L69" s="36"/>
      <c r="M69" s="36"/>
      <c r="N69" s="26"/>
      <c r="O69" s="244"/>
      <c r="P69" s="243"/>
      <c r="Q69" s="243"/>
      <c r="R69" s="243"/>
      <c r="S69" s="243"/>
      <c r="T69" s="243"/>
    </row>
    <row r="70" spans="2:20">
      <c r="B70" s="25"/>
      <c r="C70" s="1"/>
      <c r="D70" s="36"/>
      <c r="E70" s="36"/>
      <c r="F70" s="36"/>
      <c r="G70" s="36"/>
      <c r="H70" s="36"/>
      <c r="I70" s="36"/>
      <c r="J70" s="36"/>
      <c r="K70" s="36"/>
      <c r="L70" s="36"/>
      <c r="M70" s="36"/>
      <c r="N70" s="26"/>
      <c r="O70" s="244"/>
      <c r="P70" s="243"/>
      <c r="Q70" s="243"/>
      <c r="R70" s="243"/>
      <c r="S70" s="243"/>
      <c r="T70" s="243"/>
    </row>
    <row r="71" spans="2:20">
      <c r="B71" s="25"/>
      <c r="C71" s="1"/>
      <c r="D71" s="36"/>
      <c r="E71" s="36"/>
      <c r="F71" s="36"/>
      <c r="G71" s="36"/>
      <c r="H71" s="36"/>
      <c r="I71" s="36"/>
      <c r="J71" s="36"/>
      <c r="K71" s="36"/>
      <c r="L71" s="36"/>
      <c r="M71" s="36"/>
      <c r="N71" s="26"/>
      <c r="O71" s="244"/>
      <c r="P71" s="243"/>
      <c r="Q71" s="243"/>
      <c r="R71" s="243"/>
      <c r="S71" s="243"/>
      <c r="T71" s="243"/>
    </row>
    <row r="72" spans="2:20">
      <c r="B72" s="25"/>
      <c r="C72" s="1"/>
      <c r="D72" s="36"/>
      <c r="E72" s="36"/>
      <c r="F72" s="36"/>
      <c r="G72" s="36"/>
      <c r="H72" s="36"/>
      <c r="I72" s="36"/>
      <c r="J72" s="36"/>
      <c r="K72" s="36"/>
      <c r="L72" s="36"/>
      <c r="M72" s="36"/>
      <c r="N72" s="26"/>
      <c r="O72" s="244"/>
      <c r="P72" s="243"/>
      <c r="Q72" s="243"/>
      <c r="R72" s="243"/>
      <c r="S72" s="243"/>
      <c r="T72" s="243"/>
    </row>
    <row r="73" spans="2:20">
      <c r="B73" s="25"/>
      <c r="C73" s="1"/>
      <c r="D73" s="36"/>
      <c r="E73" s="36"/>
      <c r="F73" s="36"/>
      <c r="G73" s="36"/>
      <c r="H73" s="36"/>
      <c r="I73" s="36"/>
      <c r="J73" s="36"/>
      <c r="K73" s="36"/>
      <c r="L73" s="36"/>
      <c r="M73" s="36"/>
      <c r="N73" s="26"/>
      <c r="O73" s="244"/>
      <c r="P73" s="243"/>
      <c r="Q73" s="243"/>
      <c r="R73" s="243"/>
      <c r="S73" s="243"/>
      <c r="T73" s="243"/>
    </row>
    <row r="74" spans="2:20">
      <c r="B74" s="25"/>
      <c r="C74" s="1"/>
      <c r="D74" s="36"/>
      <c r="E74" s="36"/>
      <c r="F74" s="36"/>
      <c r="G74" s="36"/>
      <c r="H74" s="36"/>
      <c r="I74" s="36"/>
      <c r="J74" s="36"/>
      <c r="K74" s="36"/>
      <c r="L74" s="36"/>
      <c r="M74" s="36"/>
      <c r="N74" s="1"/>
      <c r="O74" s="243"/>
      <c r="P74" s="243"/>
      <c r="Q74" s="243"/>
      <c r="R74" s="243"/>
      <c r="S74" s="243"/>
      <c r="T74" s="243"/>
    </row>
    <row r="75" spans="2:20">
      <c r="B75" s="25"/>
      <c r="O75" s="244"/>
      <c r="P75" s="243"/>
      <c r="Q75" s="243"/>
      <c r="R75" s="243"/>
      <c r="S75" s="243"/>
      <c r="T75" s="243"/>
    </row>
    <row r="76" spans="2:20">
      <c r="B76" s="25"/>
      <c r="O76" s="244"/>
      <c r="P76" s="243"/>
      <c r="Q76" s="243"/>
      <c r="R76" s="243"/>
      <c r="S76" s="243"/>
      <c r="T76" s="243"/>
    </row>
    <row r="77" spans="2:20">
      <c r="B77" s="25"/>
      <c r="O77" s="244"/>
      <c r="P77" s="243"/>
      <c r="Q77" s="243"/>
      <c r="R77" s="243"/>
      <c r="S77" s="243"/>
      <c r="T77" s="243"/>
    </row>
    <row r="78" spans="2:20">
      <c r="B78" s="25"/>
      <c r="O78" s="244"/>
      <c r="P78" s="243"/>
      <c r="Q78" s="243"/>
      <c r="R78" s="243"/>
      <c r="S78" s="243"/>
      <c r="T78" s="243"/>
    </row>
    <row r="79" spans="2:20">
      <c r="B79" s="25"/>
      <c r="O79" s="244"/>
      <c r="P79" s="243"/>
      <c r="Q79" s="243"/>
      <c r="R79" s="243"/>
      <c r="S79" s="243"/>
      <c r="T79" s="243"/>
    </row>
    <row r="80" spans="2:20">
      <c r="O80" s="244"/>
      <c r="P80" s="243"/>
      <c r="Q80" s="243"/>
      <c r="R80" s="243"/>
      <c r="S80" s="243"/>
      <c r="T80" s="243"/>
    </row>
    <row r="81" spans="1:20">
      <c r="O81" s="33"/>
      <c r="P81" s="32"/>
      <c r="Q81" s="32"/>
      <c r="R81" s="32"/>
      <c r="S81" s="32"/>
      <c r="T81" s="32"/>
    </row>
    <row r="82" spans="1:20">
      <c r="O82" s="33"/>
      <c r="P82" s="32"/>
      <c r="Q82" s="32"/>
      <c r="R82" s="32"/>
      <c r="S82" s="32"/>
      <c r="T82" s="32"/>
    </row>
    <row r="83" spans="1:20">
      <c r="O83" s="33"/>
      <c r="P83" s="32"/>
      <c r="Q83" s="32"/>
      <c r="R83" s="32"/>
      <c r="S83" s="32"/>
      <c r="T83" s="32"/>
    </row>
    <row r="84" spans="1:20">
      <c r="O84" s="33"/>
      <c r="P84" s="32"/>
      <c r="Q84" s="32"/>
      <c r="R84" s="32"/>
      <c r="S84" s="32"/>
      <c r="T84" s="32"/>
    </row>
    <row r="85" spans="1:20">
      <c r="O85" s="33"/>
      <c r="P85" s="32"/>
      <c r="Q85" s="32"/>
      <c r="R85" s="32"/>
      <c r="S85" s="32"/>
      <c r="T85" s="32"/>
    </row>
    <row r="86" spans="1:20">
      <c r="O86" s="33"/>
      <c r="P86" s="32"/>
      <c r="Q86" s="32"/>
      <c r="R86" s="32"/>
      <c r="S86" s="32"/>
      <c r="T86" s="32"/>
    </row>
    <row r="87" spans="1:20">
      <c r="O87" s="33"/>
      <c r="P87" s="32"/>
      <c r="Q87" s="32"/>
      <c r="R87" s="32"/>
      <c r="S87" s="32"/>
      <c r="T87" s="32"/>
    </row>
    <row r="88" spans="1:20">
      <c r="O88" s="33"/>
      <c r="P88" s="32"/>
      <c r="Q88" s="32"/>
      <c r="R88" s="32"/>
      <c r="S88" s="32"/>
      <c r="T88" s="32"/>
    </row>
    <row r="89" spans="1:20">
      <c r="O89" s="33"/>
      <c r="P89" s="32"/>
      <c r="Q89" s="32"/>
      <c r="R89" s="32"/>
      <c r="S89" s="32"/>
      <c r="T89" s="32"/>
    </row>
    <row r="90" spans="1:20">
      <c r="O90" s="33"/>
      <c r="P90" s="32"/>
      <c r="Q90" s="32"/>
      <c r="R90" s="32"/>
      <c r="S90" s="32"/>
      <c r="T90" s="32"/>
    </row>
    <row r="91" spans="1:20">
      <c r="O91" s="33"/>
      <c r="P91" s="32"/>
      <c r="Q91" s="32"/>
      <c r="R91" s="32"/>
      <c r="S91" s="32"/>
      <c r="T91" s="32"/>
    </row>
    <row r="92" spans="1:20">
      <c r="O92" s="33"/>
      <c r="P92" s="32"/>
      <c r="Q92" s="32"/>
      <c r="R92" s="32"/>
      <c r="S92" s="32"/>
      <c r="T92" s="32"/>
    </row>
    <row r="93" spans="1:20">
      <c r="O93" s="33"/>
      <c r="P93" s="32"/>
      <c r="Q93" s="32"/>
      <c r="R93" s="32"/>
      <c r="S93" s="32"/>
      <c r="T93" s="32"/>
    </row>
    <row r="94" spans="1:20">
      <c r="O94" s="33"/>
      <c r="P94" s="32"/>
      <c r="Q94" s="32"/>
      <c r="R94" s="32"/>
      <c r="S94" s="32"/>
      <c r="T94" s="32"/>
    </row>
    <row r="95" spans="1:20">
      <c r="A95" s="10"/>
      <c r="O95" s="33"/>
      <c r="P95" s="32"/>
      <c r="Q95" s="32"/>
      <c r="R95" s="32"/>
      <c r="S95" s="32"/>
      <c r="T95" s="32"/>
    </row>
    <row r="96" spans="1:20">
      <c r="A96" s="10"/>
      <c r="O96" s="33"/>
      <c r="P96" s="32"/>
      <c r="Q96" s="32"/>
      <c r="R96" s="32"/>
      <c r="S96" s="32"/>
      <c r="T96" s="32"/>
    </row>
    <row r="97" spans="1:20">
      <c r="A97" s="10"/>
      <c r="O97" s="33"/>
      <c r="P97" s="32"/>
      <c r="Q97" s="32"/>
      <c r="R97" s="32"/>
      <c r="S97" s="32"/>
      <c r="T97" s="32"/>
    </row>
    <row r="98" spans="1:20">
      <c r="O98" s="33"/>
      <c r="P98" s="32"/>
      <c r="Q98" s="32"/>
      <c r="R98" s="32"/>
      <c r="S98" s="32"/>
      <c r="T98" s="32"/>
    </row>
    <row r="99" spans="1:20">
      <c r="O99" s="33"/>
      <c r="P99" s="32"/>
      <c r="Q99" s="32"/>
      <c r="R99" s="32"/>
      <c r="S99" s="32"/>
      <c r="T99" s="32"/>
    </row>
    <row r="100" spans="1:20">
      <c r="O100" s="33"/>
      <c r="P100" s="32"/>
      <c r="Q100" s="32"/>
      <c r="R100" s="32"/>
      <c r="S100" s="32"/>
      <c r="T100" s="32"/>
    </row>
    <row r="101" spans="1:20">
      <c r="O101" s="33"/>
      <c r="P101" s="32"/>
      <c r="Q101" s="32"/>
      <c r="R101" s="32"/>
      <c r="S101" s="32"/>
      <c r="T101" s="32"/>
    </row>
    <row r="102" spans="1:20">
      <c r="O102" s="33"/>
      <c r="P102" s="32"/>
      <c r="Q102" s="32"/>
      <c r="R102" s="32"/>
      <c r="S102" s="32"/>
      <c r="T102" s="32"/>
    </row>
    <row r="103" spans="1:20">
      <c r="O103" s="33"/>
      <c r="P103" s="32"/>
      <c r="Q103" s="32"/>
      <c r="R103" s="32"/>
      <c r="S103" s="32"/>
      <c r="T103" s="32"/>
    </row>
    <row r="104" spans="1:20">
      <c r="O104" s="33"/>
      <c r="P104" s="32"/>
      <c r="Q104" s="32"/>
      <c r="R104" s="32"/>
      <c r="S104" s="32"/>
      <c r="T104" s="32"/>
    </row>
    <row r="105" spans="1:20">
      <c r="O105" s="33"/>
      <c r="P105" s="32"/>
      <c r="Q105" s="32"/>
      <c r="R105" s="32"/>
      <c r="S105" s="32"/>
      <c r="T105" s="32"/>
    </row>
    <row r="106" spans="1:20">
      <c r="O106" s="33"/>
      <c r="P106" s="32"/>
      <c r="Q106" s="32"/>
      <c r="R106" s="32"/>
      <c r="S106" s="32"/>
      <c r="T106" s="32"/>
    </row>
    <row r="107" spans="1:20">
      <c r="O107" s="33"/>
      <c r="P107" s="32"/>
      <c r="Q107" s="32"/>
      <c r="R107" s="32"/>
      <c r="S107" s="32"/>
      <c r="T107" s="32"/>
    </row>
    <row r="108" spans="1:20">
      <c r="O108" s="33"/>
      <c r="P108" s="32"/>
      <c r="Q108" s="32"/>
      <c r="R108" s="32"/>
      <c r="S108" s="32"/>
      <c r="T108" s="32"/>
    </row>
    <row r="109" spans="1:20">
      <c r="O109" s="33"/>
      <c r="P109" s="32"/>
      <c r="Q109" s="32"/>
      <c r="R109" s="32"/>
      <c r="S109" s="32"/>
      <c r="T109" s="32"/>
    </row>
    <row r="110" spans="1:20">
      <c r="O110" s="33"/>
      <c r="P110" s="32"/>
      <c r="Q110" s="32"/>
      <c r="R110" s="32"/>
      <c r="S110" s="32"/>
      <c r="T110" s="32"/>
    </row>
    <row r="111" spans="1:20">
      <c r="O111" s="33"/>
      <c r="P111" s="32"/>
      <c r="Q111" s="32"/>
      <c r="R111" s="32"/>
      <c r="S111" s="32"/>
      <c r="T111" s="32"/>
    </row>
    <row r="112" spans="1:20">
      <c r="O112" s="33"/>
      <c r="P112" s="32"/>
      <c r="Q112" s="32"/>
      <c r="R112" s="32"/>
      <c r="S112" s="32"/>
      <c r="T112" s="32"/>
    </row>
    <row r="113" spans="15:20">
      <c r="O113" s="33"/>
      <c r="P113" s="32"/>
      <c r="Q113" s="32"/>
      <c r="R113" s="32"/>
      <c r="S113" s="32"/>
      <c r="T113" s="32"/>
    </row>
    <row r="114" spans="15:20">
      <c r="O114" s="33"/>
      <c r="P114" s="32"/>
      <c r="Q114" s="32"/>
      <c r="R114" s="32"/>
      <c r="S114" s="32"/>
      <c r="T114" s="32"/>
    </row>
    <row r="115" spans="15:20">
      <c r="O115" s="33"/>
      <c r="P115" s="32"/>
      <c r="Q115" s="32"/>
      <c r="R115" s="32"/>
      <c r="S115" s="32"/>
      <c r="T115" s="32"/>
    </row>
    <row r="116" spans="15:20">
      <c r="O116" s="33"/>
      <c r="P116" s="32"/>
      <c r="Q116" s="32"/>
      <c r="R116" s="32"/>
      <c r="S116" s="32"/>
      <c r="T116" s="32"/>
    </row>
    <row r="117" spans="15:20">
      <c r="O117" s="33"/>
      <c r="P117" s="32"/>
      <c r="Q117" s="32"/>
      <c r="R117" s="32"/>
      <c r="S117" s="32"/>
      <c r="T117" s="32"/>
    </row>
    <row r="118" spans="15:20">
      <c r="O118" s="33"/>
      <c r="P118" s="32"/>
      <c r="Q118" s="32"/>
      <c r="R118" s="32"/>
      <c r="S118" s="32"/>
      <c r="T118" s="32"/>
    </row>
    <row r="119" spans="15:20">
      <c r="O119" s="33"/>
      <c r="P119" s="32"/>
      <c r="Q119" s="32"/>
      <c r="R119" s="32"/>
      <c r="S119" s="32"/>
      <c r="T119" s="32"/>
    </row>
    <row r="120" spans="15:20">
      <c r="O120" s="33"/>
      <c r="P120" s="32"/>
      <c r="Q120" s="32"/>
      <c r="R120" s="32"/>
      <c r="S120" s="32"/>
      <c r="T120" s="32"/>
    </row>
    <row r="121" spans="15:20">
      <c r="O121" s="33"/>
      <c r="P121" s="32"/>
      <c r="Q121" s="32"/>
      <c r="R121" s="32"/>
      <c r="S121" s="32"/>
      <c r="T121" s="32"/>
    </row>
    <row r="122" spans="15:20">
      <c r="O122" s="33"/>
      <c r="P122" s="32"/>
      <c r="Q122" s="32"/>
      <c r="R122" s="32"/>
      <c r="S122" s="32"/>
      <c r="T122" s="32"/>
    </row>
    <row r="123" spans="15:20">
      <c r="O123" s="33"/>
      <c r="P123" s="32"/>
      <c r="Q123" s="32"/>
      <c r="R123" s="32"/>
      <c r="S123" s="32"/>
      <c r="T123" s="32"/>
    </row>
    <row r="124" spans="15:20">
      <c r="O124" s="33"/>
      <c r="P124" s="32"/>
      <c r="Q124" s="32"/>
      <c r="R124" s="32"/>
      <c r="S124" s="32"/>
      <c r="T124" s="32"/>
    </row>
    <row r="125" spans="15:20">
      <c r="O125" s="33"/>
      <c r="P125" s="32"/>
      <c r="Q125" s="32"/>
      <c r="R125" s="32"/>
      <c r="S125" s="32"/>
      <c r="T125" s="32"/>
    </row>
    <row r="126" spans="15:20">
      <c r="O126" s="33"/>
      <c r="P126" s="32"/>
      <c r="Q126" s="32"/>
      <c r="R126" s="32"/>
      <c r="S126" s="32"/>
      <c r="T126" s="32"/>
    </row>
    <row r="127" spans="15:20">
      <c r="O127" s="33"/>
      <c r="P127" s="32"/>
      <c r="Q127" s="32"/>
      <c r="R127" s="32"/>
      <c r="S127" s="32"/>
      <c r="T127" s="32"/>
    </row>
    <row r="128" spans="15:20">
      <c r="O128" s="33"/>
      <c r="P128" s="32"/>
      <c r="Q128" s="32"/>
      <c r="R128" s="32"/>
      <c r="S128" s="32"/>
      <c r="T128" s="32"/>
    </row>
    <row r="129" spans="15:20">
      <c r="O129" s="33"/>
      <c r="P129" s="32"/>
      <c r="Q129" s="32"/>
      <c r="R129" s="32"/>
      <c r="S129" s="32"/>
      <c r="T129" s="32"/>
    </row>
    <row r="130" spans="15:20">
      <c r="O130" s="33"/>
      <c r="P130" s="32"/>
      <c r="Q130" s="32"/>
      <c r="R130" s="32"/>
      <c r="S130" s="32"/>
      <c r="T130" s="32"/>
    </row>
    <row r="131" spans="15:20">
      <c r="O131" s="33"/>
      <c r="P131" s="32"/>
      <c r="Q131" s="32"/>
      <c r="R131" s="32"/>
      <c r="S131" s="32"/>
      <c r="T131" s="32"/>
    </row>
    <row r="132" spans="15:20">
      <c r="O132" s="33"/>
      <c r="P132" s="32"/>
      <c r="Q132" s="32"/>
      <c r="R132" s="32"/>
      <c r="S132" s="32"/>
      <c r="T132" s="32"/>
    </row>
    <row r="133" spans="15:20">
      <c r="O133" s="33"/>
      <c r="P133" s="32"/>
      <c r="Q133" s="32"/>
      <c r="R133" s="32"/>
      <c r="S133" s="32"/>
      <c r="T133" s="32"/>
    </row>
    <row r="134" spans="15:20">
      <c r="O134" s="33"/>
      <c r="P134" s="32"/>
      <c r="Q134" s="32"/>
      <c r="R134" s="32"/>
      <c r="S134" s="32"/>
      <c r="T134" s="32"/>
    </row>
    <row r="135" spans="15:20">
      <c r="O135" s="33"/>
      <c r="P135" s="32"/>
      <c r="Q135" s="32"/>
      <c r="R135" s="32"/>
      <c r="S135" s="32"/>
      <c r="T135" s="32"/>
    </row>
    <row r="136" spans="15:20">
      <c r="O136" s="33"/>
      <c r="P136" s="32"/>
      <c r="Q136" s="32"/>
      <c r="R136" s="32"/>
      <c r="S136" s="32"/>
      <c r="T136" s="32"/>
    </row>
    <row r="137" spans="15:20">
      <c r="O137" s="33"/>
      <c r="P137" s="32"/>
      <c r="Q137" s="32"/>
      <c r="R137" s="32"/>
      <c r="S137" s="32"/>
      <c r="T137" s="32"/>
    </row>
    <row r="138" spans="15:20">
      <c r="O138" s="33"/>
      <c r="P138" s="32"/>
      <c r="Q138" s="32"/>
      <c r="R138" s="32"/>
      <c r="S138" s="32"/>
      <c r="T138" s="32"/>
    </row>
    <row r="139" spans="15:20">
      <c r="O139" s="33"/>
      <c r="P139" s="32"/>
      <c r="Q139" s="32"/>
      <c r="R139" s="32"/>
      <c r="S139" s="32"/>
      <c r="T139" s="32"/>
    </row>
    <row r="140" spans="15:20">
      <c r="O140" s="33"/>
      <c r="P140" s="32"/>
      <c r="Q140" s="32"/>
      <c r="R140" s="32"/>
      <c r="S140" s="32"/>
      <c r="T140" s="32"/>
    </row>
    <row r="141" spans="15:20">
      <c r="O141" s="33"/>
      <c r="P141" s="32"/>
      <c r="Q141" s="32"/>
      <c r="R141" s="32"/>
      <c r="S141" s="32"/>
      <c r="T141" s="32"/>
    </row>
    <row r="142" spans="15:20">
      <c r="O142" s="33"/>
      <c r="P142" s="32"/>
      <c r="Q142" s="32"/>
      <c r="R142" s="32"/>
      <c r="S142" s="32"/>
      <c r="T142" s="32"/>
    </row>
    <row r="143" spans="15:20">
      <c r="O143" s="33"/>
      <c r="P143" s="32"/>
      <c r="Q143" s="32"/>
      <c r="R143" s="32"/>
      <c r="S143" s="32"/>
      <c r="T143" s="32"/>
    </row>
    <row r="144" spans="15:20">
      <c r="O144" s="33"/>
      <c r="P144" s="32"/>
      <c r="Q144" s="32"/>
      <c r="R144" s="32"/>
      <c r="S144" s="32"/>
      <c r="T144" s="32"/>
    </row>
    <row r="145" spans="15:20">
      <c r="O145" s="33"/>
      <c r="P145" s="32"/>
      <c r="Q145" s="32"/>
      <c r="R145" s="32"/>
      <c r="S145" s="32"/>
      <c r="T145" s="32"/>
    </row>
    <row r="146" spans="15:20">
      <c r="O146" s="33"/>
      <c r="P146" s="32"/>
      <c r="Q146" s="32"/>
      <c r="R146" s="32"/>
      <c r="S146" s="32"/>
      <c r="T146" s="32"/>
    </row>
    <row r="147" spans="15:20">
      <c r="O147" s="33"/>
      <c r="P147" s="32"/>
      <c r="Q147" s="32"/>
      <c r="R147" s="32"/>
      <c r="S147" s="32"/>
      <c r="T147" s="32"/>
    </row>
    <row r="148" spans="15:20">
      <c r="O148" s="33"/>
      <c r="P148" s="32"/>
      <c r="Q148" s="32"/>
      <c r="R148" s="32"/>
      <c r="S148" s="32"/>
      <c r="T148" s="32"/>
    </row>
    <row r="149" spans="15:20">
      <c r="O149" s="33"/>
      <c r="P149" s="32"/>
      <c r="Q149" s="32"/>
      <c r="R149" s="32"/>
      <c r="S149" s="32"/>
      <c r="T149" s="32"/>
    </row>
    <row r="150" spans="15:20">
      <c r="O150" s="33"/>
      <c r="P150" s="32"/>
      <c r="Q150" s="32"/>
      <c r="R150" s="32"/>
      <c r="S150" s="32"/>
      <c r="T150" s="32"/>
    </row>
    <row r="151" spans="15:20">
      <c r="O151" s="33"/>
      <c r="P151" s="32"/>
      <c r="Q151" s="32"/>
      <c r="R151" s="32"/>
      <c r="S151" s="32"/>
      <c r="T151" s="32"/>
    </row>
    <row r="152" spans="15:20">
      <c r="O152" s="33"/>
      <c r="P152" s="32"/>
      <c r="Q152" s="32"/>
      <c r="R152" s="32"/>
      <c r="S152" s="32"/>
      <c r="T152" s="32"/>
    </row>
    <row r="153" spans="15:20">
      <c r="O153" s="33"/>
      <c r="P153" s="32"/>
      <c r="Q153" s="32"/>
      <c r="R153" s="32"/>
      <c r="S153" s="32"/>
      <c r="T153" s="32"/>
    </row>
    <row r="154" spans="15:20">
      <c r="O154" s="33"/>
      <c r="P154" s="32"/>
      <c r="Q154" s="32"/>
      <c r="R154" s="32"/>
      <c r="S154" s="32"/>
      <c r="T154" s="32"/>
    </row>
    <row r="155" spans="15:20">
      <c r="O155" s="33"/>
      <c r="P155" s="32"/>
      <c r="Q155" s="32"/>
      <c r="R155" s="32"/>
      <c r="S155" s="32"/>
      <c r="T155" s="32"/>
    </row>
    <row r="156" spans="15:20">
      <c r="O156" s="33"/>
      <c r="P156" s="32"/>
      <c r="Q156" s="32"/>
      <c r="R156" s="32"/>
      <c r="S156" s="32"/>
      <c r="T156" s="32"/>
    </row>
    <row r="157" spans="15:20">
      <c r="O157" s="33"/>
      <c r="P157" s="32"/>
      <c r="Q157" s="32"/>
      <c r="R157" s="32"/>
      <c r="S157" s="32"/>
      <c r="T157" s="32"/>
    </row>
    <row r="158" spans="15:20">
      <c r="O158" s="33"/>
      <c r="P158" s="32"/>
      <c r="Q158" s="32"/>
      <c r="R158" s="32"/>
      <c r="S158" s="32"/>
      <c r="T158" s="32"/>
    </row>
    <row r="159" spans="15:20">
      <c r="O159" s="33"/>
      <c r="P159" s="32"/>
      <c r="Q159" s="32"/>
      <c r="R159" s="32"/>
      <c r="S159" s="32"/>
      <c r="T159" s="32"/>
    </row>
    <row r="160" spans="15:20">
      <c r="O160" s="33"/>
      <c r="P160" s="32"/>
      <c r="Q160" s="32"/>
      <c r="R160" s="32"/>
      <c r="S160" s="32"/>
      <c r="T160" s="32"/>
    </row>
    <row r="161" spans="15:20">
      <c r="O161" s="33"/>
      <c r="P161" s="32"/>
      <c r="Q161" s="32"/>
      <c r="R161" s="32"/>
      <c r="S161" s="32"/>
      <c r="T161" s="32"/>
    </row>
    <row r="162" spans="15:20">
      <c r="O162" s="33"/>
      <c r="P162" s="32"/>
      <c r="Q162" s="32"/>
      <c r="R162" s="32"/>
      <c r="S162" s="32"/>
      <c r="T162" s="32"/>
    </row>
    <row r="163" spans="15:20">
      <c r="O163" s="33"/>
      <c r="P163" s="32"/>
      <c r="Q163" s="32"/>
      <c r="R163" s="32"/>
      <c r="S163" s="32"/>
      <c r="T163" s="32"/>
    </row>
    <row r="164" spans="15:20">
      <c r="O164" s="33"/>
      <c r="P164" s="32"/>
      <c r="Q164" s="32"/>
      <c r="R164" s="32"/>
      <c r="S164" s="32"/>
      <c r="T164" s="32"/>
    </row>
    <row r="165" spans="15:20">
      <c r="O165" s="33"/>
      <c r="P165" s="32"/>
      <c r="Q165" s="32"/>
      <c r="R165" s="32"/>
      <c r="S165" s="32"/>
      <c r="T165" s="32"/>
    </row>
    <row r="166" spans="15:20">
      <c r="O166" s="33"/>
      <c r="P166" s="32"/>
      <c r="Q166" s="32"/>
      <c r="R166" s="32"/>
      <c r="S166" s="32"/>
      <c r="T166" s="32"/>
    </row>
    <row r="167" spans="15:20">
      <c r="O167" s="33"/>
      <c r="P167" s="32"/>
      <c r="Q167" s="32"/>
      <c r="R167" s="32"/>
      <c r="S167" s="32"/>
      <c r="T167" s="32"/>
    </row>
    <row r="168" spans="15:20">
      <c r="O168" s="33"/>
      <c r="P168" s="32"/>
      <c r="Q168" s="32"/>
      <c r="R168" s="32"/>
      <c r="S168" s="32"/>
      <c r="T168" s="32"/>
    </row>
    <row r="169" spans="15:20">
      <c r="O169" s="33"/>
      <c r="P169" s="32"/>
      <c r="Q169" s="32"/>
      <c r="R169" s="32"/>
      <c r="S169" s="32"/>
      <c r="T169" s="32"/>
    </row>
    <row r="170" spans="15:20">
      <c r="O170" s="33"/>
      <c r="P170" s="32"/>
      <c r="Q170" s="32"/>
      <c r="R170" s="32"/>
      <c r="S170" s="32"/>
      <c r="T170" s="32"/>
    </row>
    <row r="171" spans="15:20">
      <c r="O171" s="33"/>
      <c r="P171" s="32"/>
      <c r="Q171" s="32"/>
      <c r="R171" s="32"/>
      <c r="S171" s="32"/>
      <c r="T171" s="32"/>
    </row>
    <row r="172" spans="15:20">
      <c r="O172" s="33"/>
      <c r="P172" s="32"/>
      <c r="Q172" s="32"/>
      <c r="R172" s="32"/>
      <c r="S172" s="32"/>
      <c r="T172" s="32"/>
    </row>
    <row r="173" spans="15:20">
      <c r="O173" s="33"/>
      <c r="P173" s="32"/>
      <c r="Q173" s="32"/>
      <c r="R173" s="32"/>
      <c r="S173" s="32"/>
      <c r="T173" s="32"/>
    </row>
    <row r="174" spans="15:20">
      <c r="O174" s="33"/>
      <c r="P174" s="32"/>
      <c r="Q174" s="32"/>
      <c r="R174" s="32"/>
      <c r="S174" s="32"/>
      <c r="T174" s="32"/>
    </row>
    <row r="175" spans="15:20">
      <c r="O175" s="33"/>
      <c r="P175" s="32"/>
      <c r="Q175" s="32"/>
      <c r="R175" s="32"/>
      <c r="S175" s="32"/>
      <c r="T175" s="32"/>
    </row>
    <row r="176" spans="15:20">
      <c r="O176" s="33"/>
      <c r="P176" s="32"/>
      <c r="Q176" s="32"/>
      <c r="R176" s="32"/>
      <c r="S176" s="32"/>
      <c r="T176" s="32"/>
    </row>
    <row r="177" spans="15:20">
      <c r="O177" s="33"/>
      <c r="P177" s="32"/>
      <c r="Q177" s="32"/>
      <c r="R177" s="32"/>
      <c r="S177" s="32"/>
      <c r="T177" s="32"/>
    </row>
    <row r="178" spans="15:20">
      <c r="O178" s="33"/>
      <c r="P178" s="32"/>
      <c r="Q178" s="32"/>
      <c r="R178" s="32"/>
      <c r="S178" s="32"/>
      <c r="T178" s="32"/>
    </row>
    <row r="179" spans="15:20">
      <c r="O179" s="33"/>
      <c r="P179" s="32"/>
      <c r="Q179" s="32"/>
      <c r="R179" s="32"/>
      <c r="S179" s="32"/>
      <c r="T179" s="32"/>
    </row>
    <row r="180" spans="15:20">
      <c r="O180" s="33"/>
      <c r="P180" s="32"/>
      <c r="Q180" s="32"/>
      <c r="R180" s="32"/>
      <c r="S180" s="32"/>
      <c r="T180" s="32"/>
    </row>
    <row r="181" spans="15:20">
      <c r="O181" s="33"/>
      <c r="P181" s="32"/>
      <c r="Q181" s="32"/>
      <c r="R181" s="32"/>
      <c r="S181" s="32"/>
      <c r="T181" s="32"/>
    </row>
    <row r="182" spans="15:20">
      <c r="O182" s="33"/>
      <c r="P182" s="32"/>
      <c r="Q182" s="32"/>
      <c r="R182" s="32"/>
      <c r="S182" s="32"/>
      <c r="T182" s="32"/>
    </row>
    <row r="183" spans="15:20">
      <c r="O183" s="33"/>
      <c r="P183" s="32"/>
      <c r="Q183" s="32"/>
      <c r="R183" s="32"/>
      <c r="S183" s="32"/>
      <c r="T183" s="32"/>
    </row>
    <row r="184" spans="15:20">
      <c r="O184" s="33"/>
      <c r="P184" s="32"/>
      <c r="Q184" s="32"/>
      <c r="R184" s="32"/>
      <c r="S184" s="32"/>
      <c r="T184" s="32"/>
    </row>
    <row r="185" spans="15:20">
      <c r="O185" s="33"/>
      <c r="P185" s="32"/>
      <c r="Q185" s="32"/>
      <c r="R185" s="32"/>
      <c r="S185" s="32"/>
      <c r="T185" s="32"/>
    </row>
    <row r="186" spans="15:20">
      <c r="O186" s="33"/>
      <c r="P186" s="32"/>
      <c r="Q186" s="32"/>
      <c r="R186" s="32"/>
      <c r="S186" s="32"/>
      <c r="T186" s="32"/>
    </row>
    <row r="187" spans="15:20">
      <c r="O187" s="33"/>
      <c r="P187" s="32"/>
      <c r="Q187" s="32"/>
      <c r="R187" s="32"/>
      <c r="S187" s="32"/>
      <c r="T187" s="32"/>
    </row>
    <row r="188" spans="15:20">
      <c r="O188" s="33"/>
      <c r="P188" s="32"/>
      <c r="Q188" s="32"/>
      <c r="R188" s="32"/>
      <c r="S188" s="32"/>
      <c r="T188" s="32"/>
    </row>
    <row r="189" spans="15:20">
      <c r="O189" s="33"/>
      <c r="P189" s="32"/>
      <c r="Q189" s="32"/>
      <c r="R189" s="32"/>
      <c r="S189" s="32"/>
      <c r="T189" s="32"/>
    </row>
    <row r="190" spans="15:20">
      <c r="O190" s="33"/>
      <c r="P190" s="32"/>
      <c r="Q190" s="32"/>
      <c r="R190" s="32"/>
      <c r="S190" s="32"/>
      <c r="T190" s="32"/>
    </row>
    <row r="191" spans="15:20">
      <c r="O191" s="33"/>
      <c r="P191" s="32"/>
      <c r="Q191" s="32"/>
      <c r="R191" s="32"/>
      <c r="S191" s="32"/>
      <c r="T191" s="32"/>
    </row>
    <row r="192" spans="15:20">
      <c r="O192" s="33"/>
      <c r="P192" s="32"/>
      <c r="Q192" s="32"/>
      <c r="R192" s="32"/>
      <c r="S192" s="32"/>
      <c r="T192" s="32"/>
    </row>
    <row r="193" spans="15:20">
      <c r="O193" s="33"/>
      <c r="P193" s="32"/>
      <c r="Q193" s="32"/>
      <c r="R193" s="32"/>
      <c r="S193" s="32"/>
      <c r="T193" s="32"/>
    </row>
    <row r="194" spans="15:20">
      <c r="O194" s="33"/>
      <c r="P194" s="32"/>
      <c r="Q194" s="32"/>
      <c r="R194" s="32"/>
      <c r="S194" s="32"/>
      <c r="T194" s="32"/>
    </row>
    <row r="195" spans="15:20">
      <c r="O195" s="33"/>
      <c r="P195" s="32"/>
      <c r="Q195" s="32"/>
      <c r="R195" s="32"/>
      <c r="S195" s="32"/>
      <c r="T195" s="32"/>
    </row>
    <row r="196" spans="15:20">
      <c r="O196" s="33"/>
      <c r="P196" s="32"/>
      <c r="Q196" s="32"/>
      <c r="R196" s="32"/>
      <c r="S196" s="32"/>
      <c r="T196" s="32"/>
    </row>
    <row r="197" spans="15:20">
      <c r="O197" s="33"/>
      <c r="P197" s="32"/>
      <c r="Q197" s="32"/>
      <c r="R197" s="32"/>
      <c r="S197" s="32"/>
      <c r="T197" s="32"/>
    </row>
    <row r="198" spans="15:20">
      <c r="O198" s="33"/>
      <c r="P198" s="32"/>
      <c r="Q198" s="32"/>
      <c r="R198" s="32"/>
      <c r="S198" s="32"/>
      <c r="T198" s="32"/>
    </row>
    <row r="199" spans="15:20">
      <c r="O199" s="33"/>
      <c r="P199" s="32"/>
      <c r="Q199" s="32"/>
      <c r="R199" s="32"/>
      <c r="S199" s="32"/>
      <c r="T199" s="32"/>
    </row>
    <row r="200" spans="15:20">
      <c r="O200" s="33"/>
      <c r="P200" s="32"/>
      <c r="Q200" s="32"/>
      <c r="R200" s="32"/>
      <c r="S200" s="32"/>
      <c r="T200" s="32"/>
    </row>
    <row r="201" spans="15:20">
      <c r="O201" s="33"/>
      <c r="P201" s="32"/>
      <c r="Q201" s="32"/>
      <c r="R201" s="32"/>
      <c r="S201" s="32"/>
      <c r="T201" s="32"/>
    </row>
    <row r="202" spans="15:20">
      <c r="O202" s="33"/>
      <c r="P202" s="32"/>
      <c r="Q202" s="32"/>
      <c r="R202" s="32"/>
      <c r="S202" s="32"/>
      <c r="T202" s="32"/>
    </row>
    <row r="203" spans="15:20">
      <c r="O203" s="33"/>
      <c r="P203" s="32"/>
      <c r="Q203" s="32"/>
      <c r="R203" s="32"/>
      <c r="S203" s="32"/>
      <c r="T203" s="32"/>
    </row>
    <row r="204" spans="15:20">
      <c r="O204" s="33"/>
      <c r="P204" s="32"/>
      <c r="Q204" s="32"/>
      <c r="R204" s="32"/>
      <c r="S204" s="32"/>
      <c r="T204" s="32"/>
    </row>
    <row r="205" spans="15:20">
      <c r="O205" s="33"/>
      <c r="P205" s="32"/>
      <c r="Q205" s="32"/>
      <c r="R205" s="32"/>
      <c r="S205" s="32"/>
      <c r="T205" s="32"/>
    </row>
    <row r="206" spans="15:20">
      <c r="O206" s="33"/>
      <c r="P206" s="32"/>
      <c r="Q206" s="32"/>
      <c r="R206" s="32"/>
      <c r="S206" s="32"/>
      <c r="T206" s="32"/>
    </row>
    <row r="207" spans="15:20">
      <c r="O207" s="33"/>
      <c r="P207" s="32"/>
      <c r="Q207" s="32"/>
      <c r="R207" s="32"/>
      <c r="S207" s="32"/>
      <c r="T207" s="32"/>
    </row>
    <row r="208" spans="15:20">
      <c r="O208" s="33"/>
      <c r="P208" s="32"/>
      <c r="Q208" s="32"/>
      <c r="R208" s="32"/>
      <c r="S208" s="32"/>
      <c r="T208" s="32"/>
    </row>
    <row r="209" spans="15:20">
      <c r="O209" s="33"/>
      <c r="P209" s="32"/>
      <c r="Q209" s="32"/>
      <c r="R209" s="32"/>
      <c r="S209" s="32"/>
      <c r="T209" s="32"/>
    </row>
    <row r="210" spans="15:20">
      <c r="O210" s="33"/>
      <c r="P210" s="32"/>
      <c r="Q210" s="32"/>
      <c r="R210" s="32"/>
      <c r="S210" s="32"/>
      <c r="T210" s="32"/>
    </row>
    <row r="211" spans="15:20">
      <c r="O211" s="33"/>
      <c r="P211" s="32"/>
      <c r="Q211" s="32"/>
      <c r="R211" s="32"/>
      <c r="S211" s="32"/>
      <c r="T211" s="32"/>
    </row>
    <row r="212" spans="15:20">
      <c r="O212" s="33"/>
      <c r="P212" s="32"/>
      <c r="Q212" s="32"/>
      <c r="R212" s="32"/>
      <c r="S212" s="32"/>
      <c r="T212" s="32"/>
    </row>
    <row r="213" spans="15:20">
      <c r="O213" s="33"/>
      <c r="P213" s="32"/>
      <c r="Q213" s="32"/>
      <c r="R213" s="32"/>
      <c r="S213" s="32"/>
      <c r="T213" s="32"/>
    </row>
    <row r="214" spans="15:20">
      <c r="O214" s="33"/>
      <c r="P214" s="32"/>
      <c r="Q214" s="32"/>
      <c r="R214" s="32"/>
      <c r="S214" s="32"/>
      <c r="T214" s="32"/>
    </row>
    <row r="215" spans="15:20">
      <c r="O215" s="33"/>
      <c r="P215" s="32"/>
      <c r="Q215" s="32"/>
      <c r="R215" s="32"/>
      <c r="S215" s="32"/>
      <c r="T215" s="32"/>
    </row>
    <row r="216" spans="15:20">
      <c r="O216" s="33"/>
      <c r="P216" s="32"/>
      <c r="Q216" s="32"/>
      <c r="R216" s="32"/>
      <c r="S216" s="32"/>
      <c r="T216" s="32"/>
    </row>
    <row r="217" spans="15:20">
      <c r="O217" s="33"/>
      <c r="P217" s="32"/>
      <c r="Q217" s="32"/>
      <c r="R217" s="32"/>
      <c r="S217" s="32"/>
      <c r="T217" s="32"/>
    </row>
    <row r="218" spans="15:20">
      <c r="O218" s="33"/>
      <c r="P218" s="32"/>
      <c r="Q218" s="32"/>
      <c r="R218" s="32"/>
      <c r="S218" s="32"/>
      <c r="T218" s="32"/>
    </row>
    <row r="219" spans="15:20">
      <c r="O219" s="33"/>
      <c r="P219" s="32"/>
      <c r="Q219" s="32"/>
      <c r="R219" s="32"/>
      <c r="S219" s="32"/>
      <c r="T219" s="32"/>
    </row>
    <row r="220" spans="15:20">
      <c r="O220" s="33"/>
      <c r="P220" s="32"/>
      <c r="Q220" s="32"/>
      <c r="R220" s="32"/>
      <c r="S220" s="32"/>
      <c r="T220" s="32"/>
    </row>
    <row r="221" spans="15:20">
      <c r="O221" s="33"/>
      <c r="P221" s="32"/>
      <c r="Q221" s="32"/>
      <c r="R221" s="32"/>
      <c r="S221" s="32"/>
      <c r="T221" s="32"/>
    </row>
    <row r="222" spans="15:20">
      <c r="O222" s="33"/>
      <c r="P222" s="32"/>
      <c r="Q222" s="32"/>
      <c r="R222" s="32"/>
      <c r="S222" s="32"/>
      <c r="T222" s="32"/>
    </row>
    <row r="223" spans="15:20">
      <c r="O223" s="33"/>
      <c r="P223" s="32"/>
      <c r="Q223" s="32"/>
      <c r="R223" s="32"/>
      <c r="S223" s="32"/>
      <c r="T223" s="32"/>
    </row>
    <row r="224" spans="15:20">
      <c r="O224" s="33"/>
      <c r="P224" s="32"/>
      <c r="Q224" s="32"/>
      <c r="R224" s="32"/>
      <c r="S224" s="32"/>
      <c r="T224" s="32"/>
    </row>
    <row r="225" spans="15:20">
      <c r="O225" s="33"/>
      <c r="P225" s="32"/>
      <c r="Q225" s="32"/>
      <c r="R225" s="32"/>
      <c r="S225" s="32"/>
      <c r="T225" s="32"/>
    </row>
    <row r="226" spans="15:20">
      <c r="O226" s="33"/>
      <c r="P226" s="32"/>
      <c r="Q226" s="32"/>
      <c r="R226" s="32"/>
      <c r="S226" s="32"/>
      <c r="T226" s="32"/>
    </row>
    <row r="227" spans="15:20">
      <c r="O227" s="33"/>
      <c r="P227" s="32"/>
      <c r="Q227" s="32"/>
      <c r="R227" s="32"/>
      <c r="S227" s="32"/>
      <c r="T227" s="32"/>
    </row>
    <row r="228" spans="15:20">
      <c r="O228" s="33"/>
      <c r="P228" s="32"/>
      <c r="Q228" s="32"/>
      <c r="R228" s="32"/>
      <c r="S228" s="32"/>
      <c r="T228" s="32"/>
    </row>
    <row r="229" spans="15:20">
      <c r="O229" s="33"/>
      <c r="P229" s="32"/>
      <c r="Q229" s="32"/>
      <c r="R229" s="32"/>
      <c r="S229" s="32"/>
      <c r="T229" s="32"/>
    </row>
    <row r="230" spans="15:20">
      <c r="O230" s="33"/>
      <c r="P230" s="32"/>
      <c r="Q230" s="32"/>
      <c r="R230" s="32"/>
      <c r="S230" s="32"/>
      <c r="T230" s="32"/>
    </row>
    <row r="231" spans="15:20">
      <c r="O231" s="33"/>
      <c r="P231" s="32"/>
      <c r="Q231" s="32"/>
      <c r="R231" s="32"/>
      <c r="S231" s="32"/>
      <c r="T231" s="32"/>
    </row>
    <row r="232" spans="15:20">
      <c r="O232" s="33"/>
      <c r="P232" s="32"/>
      <c r="Q232" s="32"/>
      <c r="R232" s="32"/>
      <c r="S232" s="32"/>
      <c r="T232" s="32"/>
    </row>
    <row r="233" spans="15:20">
      <c r="O233" s="33"/>
      <c r="P233" s="32"/>
      <c r="Q233" s="32"/>
      <c r="R233" s="32"/>
      <c r="S233" s="32"/>
      <c r="T233" s="32"/>
    </row>
    <row r="234" spans="15:20">
      <c r="O234" s="33"/>
      <c r="P234" s="32"/>
      <c r="Q234" s="32"/>
      <c r="R234" s="32"/>
      <c r="S234" s="32"/>
      <c r="T234" s="32"/>
    </row>
    <row r="235" spans="15:20">
      <c r="O235" s="33"/>
      <c r="P235" s="32"/>
      <c r="Q235" s="32"/>
      <c r="R235" s="32"/>
      <c r="S235" s="32"/>
      <c r="T235" s="32"/>
    </row>
    <row r="236" spans="15:20">
      <c r="O236" s="33"/>
      <c r="P236" s="32"/>
      <c r="Q236" s="32"/>
      <c r="R236" s="32"/>
      <c r="S236" s="32"/>
      <c r="T236" s="32"/>
    </row>
    <row r="237" spans="15:20">
      <c r="O237" s="33"/>
      <c r="P237" s="32"/>
      <c r="Q237" s="32"/>
      <c r="R237" s="32"/>
      <c r="S237" s="32"/>
      <c r="T237" s="32"/>
    </row>
    <row r="238" spans="15:20">
      <c r="O238" s="33"/>
      <c r="P238" s="32"/>
      <c r="Q238" s="32"/>
      <c r="R238" s="32"/>
      <c r="S238" s="32"/>
      <c r="T238" s="32"/>
    </row>
    <row r="239" spans="15:20">
      <c r="O239" s="33"/>
      <c r="P239" s="32"/>
      <c r="Q239" s="32"/>
      <c r="R239" s="32"/>
      <c r="S239" s="32"/>
      <c r="T239" s="32"/>
    </row>
    <row r="240" spans="15:20">
      <c r="O240" s="33"/>
      <c r="P240" s="32"/>
      <c r="Q240" s="32"/>
      <c r="R240" s="32"/>
      <c r="S240" s="32"/>
      <c r="T240" s="32"/>
    </row>
    <row r="241" spans="15:20">
      <c r="O241" s="33"/>
      <c r="P241" s="32"/>
      <c r="Q241" s="32"/>
      <c r="R241" s="32"/>
      <c r="S241" s="32"/>
      <c r="T241" s="32"/>
    </row>
    <row r="242" spans="15:20">
      <c r="O242" s="33"/>
      <c r="P242" s="32"/>
      <c r="Q242" s="32"/>
      <c r="R242" s="32"/>
      <c r="S242" s="32"/>
      <c r="T242" s="32"/>
    </row>
    <row r="243" spans="15:20">
      <c r="O243" s="33"/>
      <c r="P243" s="32"/>
      <c r="Q243" s="32"/>
      <c r="R243" s="32"/>
      <c r="S243" s="32"/>
      <c r="T243" s="32"/>
    </row>
    <row r="244" spans="15:20">
      <c r="O244" s="33"/>
      <c r="P244" s="32"/>
      <c r="Q244" s="32"/>
      <c r="R244" s="32"/>
      <c r="S244" s="32"/>
      <c r="T244" s="32"/>
    </row>
    <row r="245" spans="15:20">
      <c r="O245" s="33"/>
      <c r="P245" s="32"/>
      <c r="Q245" s="32"/>
      <c r="R245" s="32"/>
      <c r="S245" s="32"/>
      <c r="T245" s="32"/>
    </row>
    <row r="246" spans="15:20">
      <c r="O246" s="33"/>
      <c r="P246" s="32"/>
      <c r="Q246" s="32"/>
      <c r="R246" s="32"/>
      <c r="S246" s="32"/>
      <c r="T246" s="32"/>
    </row>
    <row r="247" spans="15:20">
      <c r="O247" s="33"/>
      <c r="P247" s="32"/>
      <c r="Q247" s="32"/>
      <c r="R247" s="32"/>
      <c r="S247" s="32"/>
      <c r="T247" s="32"/>
    </row>
    <row r="248" spans="15:20">
      <c r="O248" s="33"/>
      <c r="P248" s="32"/>
      <c r="Q248" s="32"/>
      <c r="R248" s="32"/>
      <c r="S248" s="32"/>
      <c r="T248" s="32"/>
    </row>
    <row r="249" spans="15:20">
      <c r="O249" s="33"/>
      <c r="P249" s="32"/>
      <c r="Q249" s="32"/>
      <c r="R249" s="32"/>
      <c r="S249" s="32"/>
      <c r="T249" s="32"/>
    </row>
    <row r="250" spans="15:20">
      <c r="O250" s="33"/>
      <c r="P250" s="32"/>
      <c r="Q250" s="32"/>
      <c r="R250" s="32"/>
      <c r="S250" s="32"/>
      <c r="T250" s="32"/>
    </row>
    <row r="251" spans="15:20">
      <c r="O251" s="33"/>
      <c r="P251" s="32"/>
      <c r="Q251" s="32"/>
      <c r="R251" s="32"/>
      <c r="S251" s="32"/>
      <c r="T251" s="32"/>
    </row>
    <row r="252" spans="15:20">
      <c r="O252" s="33"/>
      <c r="P252" s="32"/>
      <c r="Q252" s="32"/>
      <c r="R252" s="32"/>
      <c r="S252" s="32"/>
      <c r="T252" s="32"/>
    </row>
    <row r="253" spans="15:20">
      <c r="O253" s="33"/>
      <c r="P253" s="32"/>
      <c r="Q253" s="32"/>
      <c r="R253" s="32"/>
      <c r="S253" s="32"/>
      <c r="T253" s="32"/>
    </row>
  </sheetData>
  <mergeCells count="9">
    <mergeCell ref="O27:T27"/>
    <mergeCell ref="B27:N27"/>
    <mergeCell ref="B28:N29"/>
    <mergeCell ref="O28:T80"/>
    <mergeCell ref="O1:T1"/>
    <mergeCell ref="O2:T26"/>
    <mergeCell ref="B2:M2"/>
    <mergeCell ref="B3:M3"/>
    <mergeCell ref="B4:M4"/>
  </mergeCells>
  <phoneticPr fontId="2" type="noConversion"/>
  <pageMargins left="0.75" right="0.75" top="1" bottom="1" header="0.5" footer="0.5"/>
  <headerFooter alignWithMargins="0"/>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8" tint="0.59999389629810485"/>
  </sheetPr>
  <dimension ref="A1:P79"/>
  <sheetViews>
    <sheetView zoomScaleSheetLayoutView="115" workbookViewId="0">
      <selection activeCell="C29" sqref="C29"/>
    </sheetView>
  </sheetViews>
  <sheetFormatPr baseColWidth="10" defaultColWidth="8.83203125" defaultRowHeight="12" x14ac:dyDescent="0"/>
  <cols>
    <col min="1" max="1" width="2" style="12" customWidth="1"/>
    <col min="2" max="2" width="35.1640625" customWidth="1"/>
    <col min="3" max="3" width="17.6640625" customWidth="1"/>
    <col min="4" max="8" width="12.83203125" customWidth="1"/>
  </cols>
  <sheetData>
    <row r="1" spans="2:16" s="12" customFormat="1" ht="16">
      <c r="K1" s="230" t="s">
        <v>59</v>
      </c>
      <c r="L1" s="231"/>
      <c r="M1" s="231"/>
      <c r="N1" s="231"/>
      <c r="O1" s="231"/>
      <c r="P1" s="231"/>
    </row>
    <row r="2" spans="2:16" ht="20" customHeight="1">
      <c r="B2" s="263" t="str">
        <f>+'Financial Statements'!C2</f>
        <v>Altium Limited</v>
      </c>
      <c r="C2" s="264"/>
      <c r="D2" s="264"/>
      <c r="E2" s="264"/>
      <c r="F2" s="264"/>
      <c r="G2" s="264"/>
      <c r="H2" s="264"/>
      <c r="I2" s="12"/>
      <c r="J2" s="12"/>
      <c r="K2" s="232" t="s">
        <v>69</v>
      </c>
      <c r="L2" s="243"/>
      <c r="M2" s="243"/>
      <c r="N2" s="243"/>
      <c r="O2" s="243"/>
      <c r="P2" s="243"/>
    </row>
    <row r="3" spans="2:16" ht="20" customHeight="1">
      <c r="B3" s="265" t="s">
        <v>3</v>
      </c>
      <c r="C3" s="266"/>
      <c r="D3" s="266"/>
      <c r="E3" s="266"/>
      <c r="F3" s="266"/>
      <c r="G3" s="266"/>
      <c r="H3" s="266"/>
      <c r="I3" s="12"/>
      <c r="J3" s="12"/>
      <c r="K3" s="244"/>
      <c r="L3" s="243"/>
      <c r="M3" s="243"/>
      <c r="N3" s="243"/>
      <c r="O3" s="243"/>
      <c r="P3" s="243"/>
    </row>
    <row r="4" spans="2:16" ht="18" customHeight="1" thickBot="1">
      <c r="B4" s="267" t="str">
        <f>'Financial Statements'!C4</f>
        <v>Years ended 30 June</v>
      </c>
      <c r="C4" s="268"/>
      <c r="D4" s="268"/>
      <c r="E4" s="268"/>
      <c r="F4" s="268"/>
      <c r="G4" s="268"/>
      <c r="H4" s="268"/>
      <c r="I4" s="12"/>
      <c r="J4" s="12"/>
      <c r="K4" s="244"/>
      <c r="L4" s="243"/>
      <c r="M4" s="243"/>
      <c r="N4" s="243"/>
      <c r="O4" s="243"/>
      <c r="P4" s="243"/>
    </row>
    <row r="5" spans="2:16" ht="13">
      <c r="B5" s="10"/>
      <c r="C5" s="13" t="s">
        <v>125</v>
      </c>
      <c r="D5" s="13" t="s">
        <v>126</v>
      </c>
      <c r="E5" s="13" t="s">
        <v>127</v>
      </c>
      <c r="F5" s="13" t="s">
        <v>128</v>
      </c>
      <c r="G5" s="13" t="s">
        <v>129</v>
      </c>
      <c r="H5" s="13" t="s">
        <v>130</v>
      </c>
      <c r="I5" s="12"/>
      <c r="J5" s="12"/>
      <c r="K5" s="244"/>
      <c r="L5" s="243"/>
      <c r="M5" s="243"/>
      <c r="N5" s="243"/>
      <c r="O5" s="243"/>
      <c r="P5" s="243"/>
    </row>
    <row r="6" spans="2:16" ht="13" thickBot="1">
      <c r="B6" s="10"/>
      <c r="C6" s="14" t="str">
        <f>+'Financial Statements'!G6</f>
        <v>US$'000</v>
      </c>
      <c r="D6" s="14" t="str">
        <f>+C6</f>
        <v>US$'000</v>
      </c>
      <c r="E6" s="14" t="str">
        <f>+D6</f>
        <v>US$'000</v>
      </c>
      <c r="F6" s="14" t="str">
        <f>+E6</f>
        <v>US$'000</v>
      </c>
      <c r="G6" s="14" t="str">
        <f>+F6</f>
        <v>US$'000</v>
      </c>
      <c r="H6" s="14" t="str">
        <f>+G6</f>
        <v>US$'000</v>
      </c>
      <c r="I6" s="12"/>
      <c r="J6" s="12"/>
      <c r="K6" s="244"/>
      <c r="L6" s="243"/>
      <c r="M6" s="243"/>
      <c r="N6" s="243"/>
      <c r="O6" s="243"/>
      <c r="P6" s="243"/>
    </row>
    <row r="7" spans="2:16" ht="15" customHeight="1">
      <c r="B7" s="7"/>
      <c r="C7" s="19"/>
      <c r="D7" s="20"/>
      <c r="E7" s="19"/>
      <c r="F7" s="19"/>
      <c r="G7" s="19"/>
      <c r="H7" s="19"/>
      <c r="I7" s="12"/>
      <c r="J7" s="12"/>
      <c r="K7" s="244"/>
      <c r="L7" s="243"/>
      <c r="M7" s="243"/>
      <c r="N7" s="243"/>
      <c r="O7" s="243"/>
      <c r="P7" s="243"/>
    </row>
    <row r="8" spans="2:16" ht="15" customHeight="1">
      <c r="B8" s="93" t="s">
        <v>7</v>
      </c>
      <c r="C8" s="99"/>
      <c r="D8" s="100" t="e">
        <f>+'Key Value Drivers'!H16</f>
        <v>#VALUE!</v>
      </c>
      <c r="E8" s="99" t="e">
        <f>+'Key Value Drivers'!I16</f>
        <v>#VALUE!</v>
      </c>
      <c r="F8" s="99" t="e">
        <f>+'Key Value Drivers'!J16</f>
        <v>#VALUE!</v>
      </c>
      <c r="G8" s="99" t="e">
        <f>+'Key Value Drivers'!K16</f>
        <v>#VALUE!</v>
      </c>
      <c r="H8" s="99" t="e">
        <f>+'Key Value Drivers'!L16</f>
        <v>#VALUE!</v>
      </c>
      <c r="I8" s="12"/>
      <c r="J8" s="12"/>
      <c r="K8" s="244"/>
      <c r="L8" s="243"/>
      <c r="M8" s="243"/>
      <c r="N8" s="243"/>
      <c r="O8" s="243"/>
      <c r="P8" s="243"/>
    </row>
    <row r="9" spans="2:16" ht="15" customHeight="1">
      <c r="B9" s="10" t="s">
        <v>5</v>
      </c>
      <c r="C9" s="19"/>
      <c r="D9" s="19" t="e">
        <f>+'Key Value Drivers'!$C$20 +1</f>
        <v>#VALUE!</v>
      </c>
      <c r="E9" s="19" t="e">
        <f>+('Key Value Drivers'!$C$20 +1)^2</f>
        <v>#VALUE!</v>
      </c>
      <c r="F9" s="19" t="e">
        <f>+('Key Value Drivers'!$C$20 +1)^3</f>
        <v>#VALUE!</v>
      </c>
      <c r="G9" s="19" t="e">
        <f>+('Key Value Drivers'!$C$20 +1)^4</f>
        <v>#VALUE!</v>
      </c>
      <c r="H9" s="19" t="e">
        <f>+('Key Value Drivers'!$C$20 +1)^5</f>
        <v>#VALUE!</v>
      </c>
      <c r="I9" s="12"/>
      <c r="J9" s="12"/>
      <c r="K9" s="244"/>
      <c r="L9" s="243"/>
      <c r="M9" s="243"/>
      <c r="N9" s="243"/>
      <c r="O9" s="243"/>
      <c r="P9" s="243"/>
    </row>
    <row r="10" spans="2:16" ht="15" customHeight="1">
      <c r="B10" s="93" t="s">
        <v>8</v>
      </c>
      <c r="C10" s="99"/>
      <c r="D10" s="99" t="e">
        <f>+D8/D9</f>
        <v>#VALUE!</v>
      </c>
      <c r="E10" s="99" t="e">
        <f>+E8/E9</f>
        <v>#VALUE!</v>
      </c>
      <c r="F10" s="99" t="e">
        <f>+F8/F9</f>
        <v>#VALUE!</v>
      </c>
      <c r="G10" s="99" t="e">
        <f>+G8/G9</f>
        <v>#VALUE!</v>
      </c>
      <c r="H10" s="99" t="e">
        <f>+H8/H9</f>
        <v>#VALUE!</v>
      </c>
      <c r="I10" s="12"/>
      <c r="J10" s="12"/>
      <c r="K10" s="244"/>
      <c r="L10" s="243"/>
      <c r="M10" s="243"/>
      <c r="N10" s="243"/>
      <c r="O10" s="243"/>
      <c r="P10" s="243"/>
    </row>
    <row r="11" spans="2:16" ht="15" customHeight="1">
      <c r="B11" s="10" t="s">
        <v>6</v>
      </c>
      <c r="C11" s="81" t="e">
        <f>SUM(D10:H10)</f>
        <v>#VALUE!</v>
      </c>
      <c r="D11" s="19"/>
      <c r="E11" s="19"/>
      <c r="F11" s="19"/>
      <c r="G11" s="19"/>
      <c r="H11" s="19"/>
      <c r="I11" s="12"/>
      <c r="J11" s="12"/>
      <c r="K11" s="244"/>
      <c r="L11" s="243"/>
      <c r="M11" s="243"/>
      <c r="N11" s="243"/>
      <c r="O11" s="243"/>
      <c r="P11" s="243"/>
    </row>
    <row r="12" spans="2:16" ht="15" customHeight="1">
      <c r="B12" s="89" t="s">
        <v>61</v>
      </c>
      <c r="C12" s="101" t="e">
        <f>((C17*(1-'Key Value Drivers'!C21/C19))/('Key Value Drivers'!C20-'Key Value Drivers'!C21))/H9</f>
        <v>#VALUE!</v>
      </c>
      <c r="D12" s="102"/>
      <c r="E12" s="102"/>
      <c r="F12" s="102"/>
      <c r="G12" s="102"/>
      <c r="H12" s="102"/>
      <c r="I12" s="12"/>
      <c r="J12" s="12"/>
      <c r="K12" s="244"/>
      <c r="L12" s="243"/>
      <c r="M12" s="243"/>
      <c r="N12" s="243"/>
      <c r="O12" s="243"/>
      <c r="P12" s="243"/>
    </row>
    <row r="13" spans="2:16" ht="15.75" customHeight="1" thickBot="1">
      <c r="B13" s="27" t="s">
        <v>9</v>
      </c>
      <c r="C13" s="80" t="e">
        <f>+C11+C12</f>
        <v>#VALUE!</v>
      </c>
      <c r="D13" s="28"/>
      <c r="E13" s="28"/>
      <c r="F13" s="28"/>
      <c r="G13" s="28"/>
      <c r="H13" s="28"/>
      <c r="I13" s="12"/>
      <c r="J13" s="12"/>
      <c r="K13" s="244"/>
      <c r="L13" s="243"/>
      <c r="M13" s="243"/>
      <c r="N13" s="243"/>
      <c r="O13" s="243"/>
      <c r="P13" s="243"/>
    </row>
    <row r="14" spans="2:16" ht="17.25" customHeight="1">
      <c r="B14" s="11"/>
      <c r="C14" s="12"/>
      <c r="D14" s="12"/>
      <c r="E14" s="12"/>
      <c r="F14" s="12"/>
      <c r="G14" s="12"/>
      <c r="H14" s="12"/>
      <c r="I14" s="12"/>
      <c r="J14" s="12"/>
      <c r="K14" s="244"/>
      <c r="L14" s="243"/>
      <c r="M14" s="243"/>
      <c r="N14" s="243"/>
      <c r="O14" s="243"/>
      <c r="P14" s="243"/>
    </row>
    <row r="15" spans="2:16" ht="17.25" customHeight="1">
      <c r="B15" s="11"/>
      <c r="C15" s="12"/>
      <c r="D15" s="12"/>
      <c r="E15" s="12"/>
      <c r="F15" s="12"/>
      <c r="G15" s="12"/>
      <c r="H15" s="12"/>
      <c r="I15" s="12"/>
      <c r="J15" s="12"/>
      <c r="K15" s="244"/>
      <c r="L15" s="243"/>
      <c r="M15" s="243"/>
      <c r="N15" s="243"/>
      <c r="O15" s="243"/>
      <c r="P15" s="243"/>
    </row>
    <row r="16" spans="2:16" ht="17.25" customHeight="1">
      <c r="B16" s="11"/>
      <c r="C16" s="12"/>
      <c r="D16" s="12"/>
      <c r="E16" s="12"/>
      <c r="F16" s="12"/>
      <c r="G16" s="12"/>
      <c r="H16" s="12"/>
      <c r="I16" s="12"/>
      <c r="J16" s="12"/>
      <c r="K16" s="244"/>
      <c r="L16" s="243"/>
      <c r="M16" s="243"/>
      <c r="N16" s="243"/>
      <c r="O16" s="243"/>
      <c r="P16" s="243"/>
    </row>
    <row r="17" spans="2:16">
      <c r="B17" s="29" t="s">
        <v>62</v>
      </c>
      <c r="C17" s="139" t="e">
        <f>+'Key Value Drivers'!M14</f>
        <v>#VALUE!</v>
      </c>
      <c r="D17" s="12"/>
      <c r="E17" s="12"/>
      <c r="F17" s="12"/>
      <c r="G17" s="12"/>
      <c r="H17" s="12"/>
      <c r="I17" s="12"/>
      <c r="J17" s="12"/>
      <c r="K17" s="244"/>
      <c r="L17" s="243"/>
      <c r="M17" s="243"/>
      <c r="N17" s="243"/>
      <c r="O17" s="243"/>
      <c r="P17" s="243"/>
    </row>
    <row r="18" spans="2:16">
      <c r="B18" s="7" t="s">
        <v>58</v>
      </c>
      <c r="C18" s="140" t="str">
        <f>+'Key Value Drivers'!C21</f>
        <v>Enter g</v>
      </c>
      <c r="D18" s="12"/>
      <c r="E18" s="15"/>
      <c r="F18" s="12"/>
      <c r="G18" s="12"/>
      <c r="H18" s="12"/>
      <c r="I18" s="12"/>
      <c r="J18" s="12"/>
      <c r="K18" s="244"/>
      <c r="L18" s="243"/>
      <c r="M18" s="243"/>
      <c r="N18" s="243"/>
      <c r="O18" s="243"/>
      <c r="P18" s="243"/>
    </row>
    <row r="19" spans="2:16">
      <c r="B19" s="29" t="s">
        <v>63</v>
      </c>
      <c r="C19" s="139">
        <f>+'Key Value Drivers'!M10</f>
        <v>0</v>
      </c>
      <c r="D19" s="12"/>
      <c r="E19" s="12"/>
      <c r="F19" s="12"/>
      <c r="G19" s="12"/>
      <c r="H19" s="12"/>
      <c r="I19" s="12"/>
      <c r="J19" s="12"/>
      <c r="K19" s="244"/>
      <c r="L19" s="243"/>
      <c r="M19" s="243"/>
      <c r="N19" s="243"/>
      <c r="O19" s="243"/>
      <c r="P19" s="243"/>
    </row>
    <row r="20" spans="2:16">
      <c r="B20" s="10" t="s">
        <v>20</v>
      </c>
      <c r="C20" s="141" t="e">
        <f>+'Key Value Drivers'!M17</f>
        <v>#VALUE!</v>
      </c>
      <c r="D20" s="12"/>
      <c r="E20" s="12"/>
      <c r="F20" s="12"/>
      <c r="G20" s="12"/>
      <c r="H20" s="12"/>
      <c r="I20" s="12"/>
      <c r="J20" s="12"/>
      <c r="K20" s="244"/>
      <c r="L20" s="243"/>
      <c r="M20" s="243"/>
      <c r="N20" s="243"/>
      <c r="O20" s="243"/>
      <c r="P20" s="243"/>
    </row>
    <row r="21" spans="2:16">
      <c r="B21" s="10"/>
      <c r="C21" s="9"/>
      <c r="D21" s="12"/>
      <c r="E21" s="12"/>
      <c r="F21" s="12"/>
      <c r="G21" s="12"/>
      <c r="H21" s="12"/>
      <c r="I21" s="12"/>
      <c r="J21" s="12"/>
      <c r="K21" s="244"/>
      <c r="L21" s="243"/>
      <c r="M21" s="243"/>
      <c r="N21" s="243"/>
      <c r="O21" s="243"/>
      <c r="P21" s="243"/>
    </row>
    <row r="22" spans="2:16">
      <c r="B22" s="142"/>
      <c r="C22" s="12" t="s">
        <v>132</v>
      </c>
      <c r="D22" s="12"/>
      <c r="E22" s="12"/>
      <c r="F22" s="12"/>
      <c r="G22" s="12"/>
      <c r="H22" s="12"/>
      <c r="I22" s="12"/>
      <c r="J22" s="12"/>
      <c r="K22" s="244"/>
      <c r="L22" s="243"/>
      <c r="M22" s="243"/>
      <c r="N22" s="243"/>
      <c r="O22" s="243"/>
      <c r="P22" s="243"/>
    </row>
    <row r="23" spans="2:16" s="12" customFormat="1" ht="16">
      <c r="K23" s="230" t="s">
        <v>65</v>
      </c>
      <c r="L23" s="231"/>
      <c r="M23" s="231"/>
      <c r="N23" s="231"/>
      <c r="O23" s="231"/>
      <c r="P23" s="231"/>
    </row>
    <row r="24" spans="2:16" ht="20" customHeight="1">
      <c r="B24" s="269" t="str">
        <f>'Financial Statements'!C2</f>
        <v>Altium Limited</v>
      </c>
      <c r="C24" s="270"/>
      <c r="D24" s="270"/>
      <c r="E24" s="270"/>
      <c r="F24" s="270"/>
      <c r="G24" s="270"/>
      <c r="H24" s="270"/>
      <c r="I24" s="12"/>
      <c r="J24" s="12"/>
      <c r="K24" s="242" t="s">
        <v>75</v>
      </c>
      <c r="L24" s="243"/>
      <c r="M24" s="243"/>
      <c r="N24" s="243"/>
      <c r="O24" s="243"/>
      <c r="P24" s="243"/>
    </row>
    <row r="25" spans="2:16" ht="20" customHeight="1">
      <c r="B25" s="271" t="s">
        <v>4</v>
      </c>
      <c r="C25" s="248"/>
      <c r="D25" s="248"/>
      <c r="E25" s="248"/>
      <c r="F25" s="248"/>
      <c r="G25" s="248"/>
      <c r="H25" s="248"/>
      <c r="I25" s="12"/>
      <c r="J25" s="12"/>
      <c r="K25" s="244"/>
      <c r="L25" s="243"/>
      <c r="M25" s="243"/>
      <c r="N25" s="243"/>
      <c r="O25" s="243"/>
      <c r="P25" s="243"/>
    </row>
    <row r="26" spans="2:16" ht="18" customHeight="1" thickBot="1">
      <c r="B26" s="261" t="str">
        <f>'Financial Statements'!C4</f>
        <v>Years ended 30 June</v>
      </c>
      <c r="C26" s="262"/>
      <c r="D26" s="262"/>
      <c r="E26" s="262"/>
      <c r="F26" s="262"/>
      <c r="G26" s="262"/>
      <c r="H26" s="262"/>
      <c r="I26" s="12"/>
      <c r="J26" s="12"/>
      <c r="K26" s="244"/>
      <c r="L26" s="243"/>
      <c r="M26" s="243"/>
      <c r="N26" s="243"/>
      <c r="O26" s="243"/>
      <c r="P26" s="243"/>
    </row>
    <row r="27" spans="2:16" ht="13">
      <c r="B27" s="10"/>
      <c r="C27" s="13" t="str">
        <f>+C5</f>
        <v>2018A</v>
      </c>
      <c r="D27" s="13" t="str">
        <f t="shared" ref="D27:H27" si="0">+D5</f>
        <v>2019F</v>
      </c>
      <c r="E27" s="13" t="str">
        <f t="shared" si="0"/>
        <v>2020F</v>
      </c>
      <c r="F27" s="13" t="str">
        <f t="shared" si="0"/>
        <v>2021F</v>
      </c>
      <c r="G27" s="13" t="str">
        <f t="shared" si="0"/>
        <v>2022F</v>
      </c>
      <c r="H27" s="13" t="str">
        <f t="shared" si="0"/>
        <v>2023F</v>
      </c>
      <c r="I27" s="12"/>
      <c r="J27" s="12"/>
      <c r="K27" s="244"/>
      <c r="L27" s="243"/>
      <c r="M27" s="243"/>
      <c r="N27" s="243"/>
      <c r="O27" s="243"/>
      <c r="P27" s="243"/>
    </row>
    <row r="28" spans="2:16" ht="13" thickBot="1">
      <c r="B28" s="10"/>
      <c r="C28" s="14" t="str">
        <f>+C6</f>
        <v>US$'000</v>
      </c>
      <c r="D28" s="14" t="str">
        <f>+C28</f>
        <v>US$'000</v>
      </c>
      <c r="E28" s="14" t="str">
        <f>+D28</f>
        <v>US$'000</v>
      </c>
      <c r="F28" s="14" t="str">
        <f>+E28</f>
        <v>US$'000</v>
      </c>
      <c r="G28" s="14" t="str">
        <f>+F28</f>
        <v>US$'000</v>
      </c>
      <c r="H28" s="14" t="str">
        <f>+G28</f>
        <v>US$'000</v>
      </c>
      <c r="I28" s="12"/>
      <c r="J28" s="12"/>
      <c r="K28" s="244"/>
      <c r="L28" s="243"/>
      <c r="M28" s="243"/>
      <c r="N28" s="243"/>
      <c r="O28" s="243"/>
      <c r="P28" s="243"/>
    </row>
    <row r="29" spans="2:16">
      <c r="B29" s="7"/>
      <c r="C29" s="19"/>
      <c r="D29" s="20"/>
      <c r="E29" s="19"/>
      <c r="F29" s="19"/>
      <c r="G29" s="19"/>
      <c r="H29" s="19"/>
      <c r="I29" s="12"/>
      <c r="J29" s="12"/>
      <c r="K29" s="244"/>
      <c r="L29" s="243"/>
      <c r="M29" s="243"/>
      <c r="N29" s="243"/>
      <c r="O29" s="243"/>
      <c r="P29" s="243"/>
    </row>
    <row r="30" spans="2:16">
      <c r="B30" s="93" t="s">
        <v>10</v>
      </c>
      <c r="C30" s="99"/>
      <c r="D30" s="99" t="e">
        <f>+'Key Value Drivers'!H17</f>
        <v>#VALUE!</v>
      </c>
      <c r="E30" s="99" t="e">
        <f>+'Key Value Drivers'!I17</f>
        <v>#VALUE!</v>
      </c>
      <c r="F30" s="99" t="e">
        <f>+'Key Value Drivers'!J17</f>
        <v>#VALUE!</v>
      </c>
      <c r="G30" s="99" t="e">
        <f>+'Key Value Drivers'!K17</f>
        <v>#VALUE!</v>
      </c>
      <c r="H30" s="99" t="e">
        <f>+'Key Value Drivers'!L17</f>
        <v>#VALUE!</v>
      </c>
      <c r="I30" s="12"/>
      <c r="J30" s="12"/>
      <c r="K30" s="244"/>
      <c r="L30" s="243"/>
      <c r="M30" s="243"/>
      <c r="N30" s="243"/>
      <c r="O30" s="243"/>
      <c r="P30" s="243"/>
    </row>
    <row r="31" spans="2:16">
      <c r="B31" s="10" t="s">
        <v>5</v>
      </c>
      <c r="C31" s="19"/>
      <c r="D31" s="19" t="e">
        <f>+'Key Value Drivers'!$C$20 +1</f>
        <v>#VALUE!</v>
      </c>
      <c r="E31" s="19" t="e">
        <f>+('Key Value Drivers'!$C$20 +1)^2</f>
        <v>#VALUE!</v>
      </c>
      <c r="F31" s="19" t="e">
        <f>+('Key Value Drivers'!$C$20 +1)^3</f>
        <v>#VALUE!</v>
      </c>
      <c r="G31" s="19" t="e">
        <f>+('Key Value Drivers'!$C$20 +1)^4</f>
        <v>#VALUE!</v>
      </c>
      <c r="H31" s="19" t="e">
        <f>+('Key Value Drivers'!$C$20 +1)^5</f>
        <v>#VALUE!</v>
      </c>
      <c r="I31" s="12"/>
      <c r="J31" s="12"/>
      <c r="K31" s="244"/>
      <c r="L31" s="243"/>
      <c r="M31" s="243"/>
      <c r="N31" s="243"/>
      <c r="O31" s="243"/>
      <c r="P31" s="243"/>
    </row>
    <row r="32" spans="2:16">
      <c r="B32" s="93" t="s">
        <v>11</v>
      </c>
      <c r="C32" s="103" t="e">
        <f>SUM(D32:H32)</f>
        <v>#VALUE!</v>
      </c>
      <c r="D32" s="99" t="e">
        <f>+D30/D31</f>
        <v>#VALUE!</v>
      </c>
      <c r="E32" s="99" t="e">
        <f>+E30/E31</f>
        <v>#VALUE!</v>
      </c>
      <c r="F32" s="99" t="e">
        <f>+F30/F31</f>
        <v>#VALUE!</v>
      </c>
      <c r="G32" s="99" t="e">
        <f>+G30/G31</f>
        <v>#VALUE!</v>
      </c>
      <c r="H32" s="99" t="e">
        <f>+H30/H31</f>
        <v>#VALUE!</v>
      </c>
      <c r="I32" s="12"/>
      <c r="J32" s="12"/>
      <c r="K32" s="244"/>
      <c r="L32" s="243"/>
      <c r="M32" s="243"/>
      <c r="N32" s="243"/>
      <c r="O32" s="243"/>
      <c r="P32" s="243"/>
    </row>
    <row r="33" spans="1:16">
      <c r="B33" s="10" t="s">
        <v>64</v>
      </c>
      <c r="C33" s="81" t="e">
        <f>(C20/'Key Value Drivers'!C20+(Valuation!C17*(('Key Value Drivers'!C21/Valuation!C19)*(Valuation!C19-'Key Value Drivers'!C20)))/('Key Value Drivers'!C20*('Key Value Drivers'!C20-'Key Value Drivers'!C21)))/H31</f>
        <v>#VALUE!</v>
      </c>
      <c r="D33" s="19"/>
      <c r="E33" s="19"/>
      <c r="F33" s="19"/>
      <c r="G33" s="19"/>
      <c r="H33" s="19"/>
      <c r="I33" s="12"/>
      <c r="J33" s="12"/>
      <c r="K33" s="244"/>
      <c r="L33" s="243"/>
      <c r="M33" s="243"/>
      <c r="N33" s="243"/>
      <c r="O33" s="243"/>
      <c r="P33" s="243"/>
    </row>
    <row r="34" spans="1:16">
      <c r="B34" s="93" t="s">
        <v>2</v>
      </c>
      <c r="C34" s="103" t="e">
        <f>+'Key Value Drivers'!G15</f>
        <v>#VALUE!</v>
      </c>
      <c r="D34" s="99"/>
      <c r="E34" s="99"/>
      <c r="F34" s="99"/>
      <c r="G34" s="99"/>
      <c r="H34" s="99"/>
      <c r="I34" s="12"/>
      <c r="J34" s="12"/>
      <c r="K34" s="244"/>
      <c r="L34" s="243"/>
      <c r="M34" s="243"/>
      <c r="N34" s="243"/>
      <c r="O34" s="243"/>
      <c r="P34" s="243"/>
    </row>
    <row r="35" spans="1:16" ht="13" thickBot="1">
      <c r="B35" s="27" t="s">
        <v>9</v>
      </c>
      <c r="C35" s="80" t="e">
        <f>SUM(C32:C34)</f>
        <v>#VALUE!</v>
      </c>
      <c r="D35" s="28"/>
      <c r="E35" s="28"/>
      <c r="F35" s="28"/>
      <c r="G35" s="28"/>
      <c r="H35" s="28"/>
      <c r="I35" s="12"/>
      <c r="J35" s="12"/>
      <c r="K35" s="244"/>
      <c r="L35" s="243"/>
      <c r="M35" s="243"/>
      <c r="N35" s="243"/>
      <c r="O35" s="243"/>
      <c r="P35" s="243"/>
    </row>
    <row r="36" spans="1:16" ht="15.75" customHeight="1">
      <c r="B36" s="16"/>
      <c r="C36" s="12"/>
      <c r="D36" s="12"/>
      <c r="E36" s="12"/>
      <c r="F36" s="12"/>
      <c r="G36" s="12"/>
      <c r="H36" s="12"/>
      <c r="I36" s="12"/>
      <c r="J36" s="12"/>
      <c r="K36" s="244"/>
      <c r="L36" s="243"/>
      <c r="M36" s="243"/>
      <c r="N36" s="243"/>
      <c r="O36" s="243"/>
      <c r="P36" s="243"/>
    </row>
    <row r="37" spans="1:16" ht="17.25" customHeight="1">
      <c r="B37" s="12"/>
      <c r="C37" s="12"/>
      <c r="D37" s="12"/>
      <c r="E37" s="12"/>
      <c r="F37" s="12"/>
      <c r="G37" s="12"/>
      <c r="H37" s="12"/>
      <c r="I37" s="12"/>
      <c r="J37" s="12"/>
      <c r="K37" s="244"/>
      <c r="L37" s="243"/>
      <c r="M37" s="243"/>
      <c r="N37" s="243"/>
      <c r="O37" s="243"/>
      <c r="P37" s="243"/>
    </row>
    <row r="38" spans="1:16" ht="4.5" customHeight="1">
      <c r="B38" s="12"/>
      <c r="C38" s="17"/>
      <c r="D38" s="12"/>
      <c r="E38" s="12"/>
      <c r="F38" s="12"/>
      <c r="G38" s="12"/>
      <c r="H38" s="12"/>
      <c r="I38" s="12"/>
      <c r="J38" s="12"/>
      <c r="K38" s="244"/>
      <c r="L38" s="243"/>
      <c r="M38" s="243"/>
      <c r="N38" s="243"/>
      <c r="O38" s="243"/>
      <c r="P38" s="243"/>
    </row>
    <row r="39" spans="1:16">
      <c r="B39" s="12"/>
      <c r="C39" s="17"/>
      <c r="D39" s="12"/>
      <c r="E39" s="12"/>
      <c r="F39" s="12"/>
      <c r="G39" s="12"/>
      <c r="H39" s="12"/>
      <c r="I39" s="12"/>
      <c r="J39" s="12"/>
      <c r="K39" s="244"/>
      <c r="L39" s="243"/>
      <c r="M39" s="243"/>
      <c r="N39" s="243"/>
      <c r="O39" s="243"/>
      <c r="P39" s="243"/>
    </row>
    <row r="40" spans="1:16">
      <c r="B40" s="12"/>
      <c r="C40" s="12"/>
      <c r="D40" s="12"/>
      <c r="E40" s="12"/>
      <c r="F40" s="12"/>
      <c r="G40" s="12"/>
      <c r="H40" s="12"/>
      <c r="I40" s="12"/>
      <c r="J40" s="12"/>
      <c r="K40" s="244"/>
      <c r="L40" s="243"/>
      <c r="M40" s="243"/>
      <c r="N40" s="243"/>
      <c r="O40" s="243"/>
      <c r="P40" s="243"/>
    </row>
    <row r="41" spans="1:16">
      <c r="B41" s="12"/>
      <c r="C41" s="12"/>
      <c r="D41" s="12"/>
      <c r="E41" s="12"/>
      <c r="F41" s="12"/>
      <c r="G41" s="12"/>
      <c r="H41" s="12"/>
      <c r="I41" s="12"/>
      <c r="J41" s="12"/>
      <c r="K41" s="244"/>
      <c r="L41" s="243"/>
      <c r="M41" s="243"/>
      <c r="N41" s="243"/>
      <c r="O41" s="243"/>
      <c r="P41" s="243"/>
    </row>
    <row r="42" spans="1:16">
      <c r="A42" s="18"/>
      <c r="B42" s="12"/>
      <c r="C42" s="12"/>
      <c r="D42" s="12"/>
      <c r="E42" s="12"/>
      <c r="F42" s="12"/>
      <c r="G42" s="12"/>
      <c r="H42" s="12"/>
      <c r="I42" s="12"/>
      <c r="J42" s="12"/>
      <c r="K42" s="244"/>
      <c r="L42" s="243"/>
      <c r="M42" s="243"/>
      <c r="N42" s="243"/>
      <c r="O42" s="243"/>
      <c r="P42" s="243"/>
    </row>
    <row r="43" spans="1:16">
      <c r="B43" s="12"/>
      <c r="C43" s="12"/>
      <c r="D43" s="12"/>
      <c r="E43" s="12"/>
      <c r="F43" s="12"/>
      <c r="G43" s="12"/>
      <c r="H43" s="12"/>
      <c r="I43" s="12"/>
      <c r="J43" s="12"/>
      <c r="K43" s="244"/>
      <c r="L43" s="243"/>
      <c r="M43" s="243"/>
      <c r="N43" s="243"/>
      <c r="O43" s="243"/>
      <c r="P43" s="243"/>
    </row>
    <row r="44" spans="1:16" ht="16">
      <c r="B44" s="230" t="s">
        <v>60</v>
      </c>
      <c r="C44" s="231"/>
      <c r="D44" s="231"/>
      <c r="E44" s="231"/>
      <c r="F44" s="231"/>
      <c r="G44" s="231"/>
      <c r="H44" s="231"/>
      <c r="I44" s="231"/>
      <c r="J44" s="231"/>
      <c r="K44" s="244"/>
      <c r="L44" s="243"/>
      <c r="M44" s="243"/>
      <c r="N44" s="243"/>
      <c r="O44" s="243"/>
      <c r="P44" s="243"/>
    </row>
    <row r="45" spans="1:16">
      <c r="B45" s="227" t="s">
        <v>71</v>
      </c>
      <c r="C45" s="228"/>
      <c r="D45" s="228"/>
      <c r="E45" s="228"/>
      <c r="F45" s="228"/>
      <c r="G45" s="228"/>
      <c r="H45" s="228"/>
      <c r="I45" s="228"/>
      <c r="J45" s="228"/>
      <c r="K45" s="244"/>
      <c r="L45" s="243"/>
      <c r="M45" s="243"/>
      <c r="N45" s="243"/>
      <c r="O45" s="243"/>
      <c r="P45" s="243"/>
    </row>
    <row r="46" spans="1:16">
      <c r="B46" s="227"/>
      <c r="C46" s="228"/>
      <c r="D46" s="228"/>
      <c r="E46" s="228"/>
      <c r="F46" s="228"/>
      <c r="G46" s="228"/>
      <c r="H46" s="228"/>
      <c r="I46" s="228"/>
      <c r="J46" s="228"/>
      <c r="K46" s="244"/>
      <c r="L46" s="243"/>
      <c r="M46" s="243"/>
      <c r="N46" s="243"/>
      <c r="O46" s="243"/>
      <c r="P46" s="243"/>
    </row>
    <row r="47" spans="1:16">
      <c r="B47" s="25"/>
      <c r="C47" s="1"/>
      <c r="D47" s="1"/>
      <c r="E47" s="1"/>
      <c r="F47" s="1"/>
      <c r="G47" s="1"/>
      <c r="H47" s="1"/>
      <c r="I47" s="1"/>
      <c r="J47" s="26"/>
      <c r="K47" s="244"/>
      <c r="L47" s="243"/>
      <c r="M47" s="243"/>
      <c r="N47" s="243"/>
      <c r="O47" s="243"/>
      <c r="P47" s="243"/>
    </row>
    <row r="48" spans="1:16">
      <c r="B48" s="25"/>
      <c r="C48" s="1"/>
      <c r="D48" s="1"/>
      <c r="E48" s="1"/>
      <c r="F48" s="1"/>
      <c r="G48" s="1"/>
      <c r="H48" s="1"/>
      <c r="I48" s="1"/>
      <c r="J48" s="26"/>
      <c r="K48" s="244"/>
      <c r="L48" s="243"/>
      <c r="M48" s="243"/>
      <c r="N48" s="243"/>
      <c r="O48" s="243"/>
      <c r="P48" s="243"/>
    </row>
    <row r="49" spans="2:16">
      <c r="B49" s="25"/>
      <c r="C49" s="1"/>
      <c r="D49" s="1"/>
      <c r="E49" s="1"/>
      <c r="F49" s="1"/>
      <c r="G49" s="1"/>
      <c r="H49" s="1"/>
      <c r="I49" s="1"/>
      <c r="J49" s="26"/>
      <c r="K49" s="244"/>
      <c r="L49" s="243"/>
      <c r="M49" s="243"/>
      <c r="N49" s="243"/>
      <c r="O49" s="243"/>
      <c r="P49" s="243"/>
    </row>
    <row r="50" spans="2:16">
      <c r="B50" s="25"/>
      <c r="C50" s="1"/>
      <c r="D50" s="1"/>
      <c r="E50" s="1"/>
      <c r="F50" s="1"/>
      <c r="G50" s="1"/>
      <c r="H50" s="1"/>
      <c r="I50" s="1"/>
      <c r="J50" s="26"/>
      <c r="K50" s="244"/>
      <c r="L50" s="243"/>
      <c r="M50" s="243"/>
      <c r="N50" s="243"/>
      <c r="O50" s="243"/>
      <c r="P50" s="243"/>
    </row>
    <row r="51" spans="2:16">
      <c r="B51" s="25"/>
      <c r="C51" s="1"/>
      <c r="D51" s="1"/>
      <c r="E51" s="1"/>
      <c r="F51" s="1"/>
      <c r="G51" s="1"/>
      <c r="H51" s="1"/>
      <c r="I51" s="1"/>
      <c r="J51" s="26"/>
      <c r="K51" s="244"/>
      <c r="L51" s="243"/>
      <c r="M51" s="243"/>
      <c r="N51" s="243"/>
      <c r="O51" s="243"/>
      <c r="P51" s="243"/>
    </row>
    <row r="52" spans="2:16">
      <c r="B52" s="25"/>
      <c r="C52" s="1"/>
      <c r="D52" s="1"/>
      <c r="E52" s="1"/>
      <c r="F52" s="1"/>
      <c r="G52" s="1"/>
      <c r="H52" s="1"/>
      <c r="I52" s="1"/>
      <c r="J52" s="26"/>
      <c r="K52" s="244"/>
      <c r="L52" s="243"/>
      <c r="M52" s="243"/>
      <c r="N52" s="243"/>
      <c r="O52" s="243"/>
      <c r="P52" s="243"/>
    </row>
    <row r="53" spans="2:16">
      <c r="B53" s="25"/>
      <c r="C53" s="1"/>
      <c r="D53" s="1"/>
      <c r="E53" s="1"/>
      <c r="F53" s="1"/>
      <c r="G53" s="1"/>
      <c r="H53" s="1"/>
      <c r="I53" s="1"/>
      <c r="J53" s="26"/>
      <c r="K53" s="244"/>
      <c r="L53" s="243"/>
      <c r="M53" s="243"/>
      <c r="N53" s="243"/>
      <c r="O53" s="243"/>
      <c r="P53" s="243"/>
    </row>
    <row r="54" spans="2:16">
      <c r="B54" s="25"/>
      <c r="C54" s="1"/>
      <c r="D54" s="1"/>
      <c r="E54" s="1"/>
      <c r="F54" s="1"/>
      <c r="G54" s="1"/>
      <c r="H54" s="1"/>
      <c r="I54" s="1"/>
      <c r="J54" s="26"/>
      <c r="K54" s="244"/>
      <c r="L54" s="243"/>
      <c r="M54" s="243"/>
      <c r="N54" s="243"/>
      <c r="O54" s="243"/>
      <c r="P54" s="243"/>
    </row>
    <row r="55" spans="2:16">
      <c r="B55" s="25"/>
      <c r="C55" s="1"/>
      <c r="D55" s="1"/>
      <c r="E55" s="1"/>
      <c r="F55" s="1"/>
      <c r="G55" s="1"/>
      <c r="H55" s="1"/>
      <c r="I55" s="1"/>
      <c r="J55" s="26"/>
      <c r="K55" s="244"/>
      <c r="L55" s="243"/>
      <c r="M55" s="243"/>
      <c r="N55" s="243"/>
      <c r="O55" s="243"/>
      <c r="P55" s="243"/>
    </row>
    <row r="56" spans="2:16">
      <c r="B56" s="25"/>
      <c r="C56" s="1"/>
      <c r="D56" s="1"/>
      <c r="E56" s="1"/>
      <c r="F56" s="1"/>
      <c r="G56" s="1"/>
      <c r="H56" s="1"/>
      <c r="I56" s="1"/>
      <c r="J56" s="26"/>
      <c r="K56" s="244"/>
      <c r="L56" s="243"/>
      <c r="M56" s="243"/>
      <c r="N56" s="243"/>
      <c r="O56" s="243"/>
      <c r="P56" s="243"/>
    </row>
    <row r="57" spans="2:16">
      <c r="B57" s="25"/>
      <c r="C57" s="1"/>
      <c r="D57" s="1"/>
      <c r="E57" s="1"/>
      <c r="F57" s="1"/>
      <c r="G57" s="1"/>
      <c r="H57" s="1"/>
      <c r="I57" s="1"/>
      <c r="J57" s="26"/>
      <c r="K57" s="244"/>
      <c r="L57" s="243"/>
      <c r="M57" s="243"/>
      <c r="N57" s="243"/>
      <c r="O57" s="243"/>
      <c r="P57" s="243"/>
    </row>
    <row r="58" spans="2:16">
      <c r="B58" s="25"/>
      <c r="C58" s="1"/>
      <c r="D58" s="1"/>
      <c r="E58" s="1"/>
      <c r="F58" s="1"/>
      <c r="G58" s="1"/>
      <c r="H58" s="1"/>
      <c r="I58" s="1"/>
      <c r="J58" s="26"/>
      <c r="K58" s="244"/>
      <c r="L58" s="243"/>
      <c r="M58" s="243"/>
      <c r="N58" s="243"/>
      <c r="O58" s="243"/>
      <c r="P58" s="243"/>
    </row>
    <row r="59" spans="2:16">
      <c r="B59" s="25"/>
      <c r="C59" s="1"/>
      <c r="D59" s="1"/>
      <c r="E59" s="1"/>
      <c r="F59" s="1"/>
      <c r="G59" s="1"/>
      <c r="H59" s="1"/>
      <c r="I59" s="1"/>
      <c r="J59" s="26"/>
      <c r="K59" s="244"/>
      <c r="L59" s="243"/>
      <c r="M59" s="243"/>
      <c r="N59" s="243"/>
      <c r="O59" s="243"/>
      <c r="P59" s="243"/>
    </row>
    <row r="60" spans="2:16">
      <c r="B60" s="25"/>
      <c r="C60" s="1"/>
      <c r="D60" s="1"/>
      <c r="E60" s="1"/>
      <c r="F60" s="1"/>
      <c r="G60" s="1"/>
      <c r="H60" s="1"/>
      <c r="I60" s="1"/>
      <c r="J60" s="26"/>
      <c r="K60" s="244"/>
      <c r="L60" s="243"/>
      <c r="M60" s="243"/>
      <c r="N60" s="243"/>
      <c r="O60" s="243"/>
      <c r="P60" s="243"/>
    </row>
    <row r="61" spans="2:16">
      <c r="B61" s="25"/>
      <c r="C61" s="1"/>
      <c r="D61" s="1"/>
      <c r="E61" s="1"/>
      <c r="F61" s="1"/>
      <c r="G61" s="1"/>
      <c r="H61" s="1"/>
      <c r="I61" s="1"/>
      <c r="J61" s="26"/>
      <c r="K61" s="244"/>
      <c r="L61" s="243"/>
      <c r="M61" s="243"/>
      <c r="N61" s="243"/>
      <c r="O61" s="243"/>
      <c r="P61" s="243"/>
    </row>
    <row r="62" spans="2:16">
      <c r="B62" s="25"/>
      <c r="C62" s="1"/>
      <c r="D62" s="1"/>
      <c r="E62" s="1"/>
      <c r="F62" s="1"/>
      <c r="G62" s="1"/>
      <c r="H62" s="1"/>
      <c r="I62" s="1"/>
      <c r="J62" s="26"/>
      <c r="K62" s="244"/>
      <c r="L62" s="243"/>
      <c r="M62" s="243"/>
      <c r="N62" s="243"/>
      <c r="O62" s="243"/>
      <c r="P62" s="243"/>
    </row>
    <row r="63" spans="2:16">
      <c r="B63" s="25"/>
      <c r="C63" s="1"/>
      <c r="D63" s="1"/>
      <c r="E63" s="1"/>
      <c r="F63" s="1"/>
      <c r="G63" s="1"/>
      <c r="H63" s="1"/>
      <c r="I63" s="1"/>
      <c r="J63" s="26"/>
      <c r="K63" s="244"/>
      <c r="L63" s="243"/>
      <c r="M63" s="243"/>
      <c r="N63" s="243"/>
      <c r="O63" s="243"/>
      <c r="P63" s="243"/>
    </row>
    <row r="64" spans="2:16">
      <c r="B64" s="25"/>
      <c r="C64" s="1"/>
      <c r="D64" s="1"/>
      <c r="E64" s="1"/>
      <c r="F64" s="1"/>
      <c r="G64" s="1"/>
      <c r="H64" s="1"/>
      <c r="I64" s="1"/>
      <c r="J64" s="26"/>
      <c r="K64" s="244"/>
      <c r="L64" s="243"/>
      <c r="M64" s="243"/>
      <c r="N64" s="243"/>
      <c r="O64" s="243"/>
      <c r="P64" s="243"/>
    </row>
    <row r="65" spans="1:16">
      <c r="B65" s="25"/>
      <c r="C65" s="1"/>
      <c r="D65" s="1"/>
      <c r="E65" s="1"/>
      <c r="F65" s="1"/>
      <c r="G65" s="1"/>
      <c r="H65" s="1"/>
      <c r="I65" s="1"/>
      <c r="J65" s="26"/>
      <c r="K65" s="244"/>
      <c r="L65" s="243"/>
      <c r="M65" s="243"/>
      <c r="N65" s="243"/>
      <c r="O65" s="243"/>
      <c r="P65" s="243"/>
    </row>
    <row r="66" spans="1:16">
      <c r="B66" s="25"/>
      <c r="C66" s="1"/>
      <c r="D66" s="1"/>
      <c r="E66" s="1"/>
      <c r="F66" s="1"/>
      <c r="G66" s="1"/>
      <c r="H66" s="1"/>
      <c r="I66" s="1"/>
      <c r="J66" s="26"/>
      <c r="K66" s="244"/>
      <c r="L66" s="243"/>
      <c r="M66" s="243"/>
      <c r="N66" s="243"/>
      <c r="O66" s="243"/>
      <c r="P66" s="243"/>
    </row>
    <row r="67" spans="1:16">
      <c r="B67" s="25"/>
      <c r="C67" s="1"/>
      <c r="D67" s="1"/>
      <c r="E67" s="1"/>
      <c r="F67" s="1"/>
      <c r="G67" s="1"/>
      <c r="H67" s="1"/>
      <c r="I67" s="1"/>
      <c r="J67" s="26"/>
      <c r="K67" s="244"/>
      <c r="L67" s="243"/>
      <c r="M67" s="243"/>
      <c r="N67" s="243"/>
      <c r="O67" s="243"/>
      <c r="P67" s="243"/>
    </row>
    <row r="68" spans="1:16">
      <c r="B68" s="25"/>
      <c r="C68" s="1"/>
      <c r="D68" s="1"/>
      <c r="E68" s="1"/>
      <c r="F68" s="1"/>
      <c r="G68" s="1"/>
      <c r="H68" s="1"/>
      <c r="I68" s="1"/>
      <c r="J68" s="26"/>
      <c r="K68" s="244"/>
      <c r="L68" s="243"/>
      <c r="M68" s="243"/>
      <c r="N68" s="243"/>
      <c r="O68" s="243"/>
      <c r="P68" s="243"/>
    </row>
    <row r="69" spans="1:16">
      <c r="B69" s="25"/>
      <c r="C69" s="1"/>
      <c r="D69" s="1"/>
      <c r="E69" s="1"/>
      <c r="F69" s="1"/>
      <c r="G69" s="1"/>
      <c r="H69" s="1"/>
      <c r="I69" s="1"/>
      <c r="J69" s="26"/>
      <c r="K69" s="244"/>
      <c r="L69" s="243"/>
      <c r="M69" s="243"/>
      <c r="N69" s="243"/>
      <c r="O69" s="243"/>
      <c r="P69" s="243"/>
    </row>
    <row r="70" spans="1:16">
      <c r="B70" s="25"/>
      <c r="C70" s="1"/>
      <c r="D70" s="1"/>
      <c r="E70" s="1"/>
      <c r="F70" s="1"/>
      <c r="G70" s="1"/>
      <c r="H70" s="1"/>
      <c r="I70" s="1"/>
      <c r="J70" s="26"/>
      <c r="K70" s="244"/>
      <c r="L70" s="243"/>
      <c r="M70" s="243"/>
      <c r="N70" s="243"/>
      <c r="O70" s="243"/>
      <c r="P70" s="243"/>
    </row>
    <row r="71" spans="1:16">
      <c r="B71" s="25"/>
      <c r="C71" s="1"/>
      <c r="D71" s="1"/>
      <c r="E71" s="1"/>
      <c r="F71" s="1"/>
      <c r="G71" s="1"/>
      <c r="H71" s="1"/>
      <c r="I71" s="1"/>
      <c r="J71" s="26"/>
      <c r="K71" s="244"/>
      <c r="L71" s="243"/>
      <c r="M71" s="243"/>
      <c r="N71" s="243"/>
      <c r="O71" s="243"/>
      <c r="P71" s="243"/>
    </row>
    <row r="72" spans="1:16">
      <c r="B72" s="25"/>
      <c r="C72" s="1"/>
      <c r="D72" s="1"/>
      <c r="E72" s="1"/>
      <c r="F72" s="1"/>
      <c r="G72" s="1"/>
      <c r="H72" s="1"/>
      <c r="I72" s="1"/>
      <c r="J72" s="26"/>
      <c r="K72" s="244"/>
      <c r="L72" s="243"/>
      <c r="M72" s="243"/>
      <c r="N72" s="243"/>
      <c r="O72" s="243"/>
      <c r="P72" s="243"/>
    </row>
    <row r="73" spans="1:16">
      <c r="B73" s="25"/>
      <c r="C73" s="1"/>
      <c r="D73" s="1"/>
      <c r="E73" s="1"/>
      <c r="F73" s="1"/>
      <c r="G73" s="1"/>
      <c r="H73" s="1"/>
      <c r="I73" s="1"/>
      <c r="J73" s="26"/>
      <c r="K73" s="244"/>
      <c r="L73" s="243"/>
      <c r="M73" s="243"/>
      <c r="N73" s="243"/>
      <c r="O73" s="243"/>
      <c r="P73" s="243"/>
    </row>
    <row r="74" spans="1:16">
      <c r="B74" s="25"/>
      <c r="C74" s="1"/>
      <c r="D74" s="1"/>
      <c r="E74" s="1"/>
      <c r="F74" s="1"/>
      <c r="G74" s="1"/>
      <c r="H74" s="1"/>
      <c r="I74" s="1"/>
      <c r="J74" s="26"/>
      <c r="K74" s="244"/>
      <c r="L74" s="243"/>
      <c r="M74" s="243"/>
      <c r="N74" s="243"/>
      <c r="O74" s="243"/>
      <c r="P74" s="243"/>
    </row>
    <row r="75" spans="1:16">
      <c r="B75" s="25"/>
      <c r="C75" s="1"/>
      <c r="D75" s="1"/>
      <c r="E75" s="1"/>
      <c r="F75" s="1"/>
      <c r="G75" s="1"/>
      <c r="H75" s="1"/>
      <c r="I75" s="1"/>
      <c r="J75" s="26"/>
      <c r="K75" s="244"/>
      <c r="L75" s="243"/>
      <c r="M75" s="243"/>
      <c r="N75" s="243"/>
      <c r="O75" s="243"/>
      <c r="P75" s="243"/>
    </row>
    <row r="76" spans="1:16">
      <c r="B76" s="25"/>
      <c r="C76" s="1"/>
      <c r="D76" s="1"/>
      <c r="E76" s="1"/>
      <c r="F76" s="1"/>
      <c r="G76" s="1"/>
      <c r="H76" s="1"/>
      <c r="I76" s="1"/>
      <c r="J76" s="26"/>
      <c r="K76" s="244"/>
      <c r="L76" s="243"/>
      <c r="M76" s="243"/>
      <c r="N76" s="243"/>
      <c r="O76" s="243"/>
      <c r="P76" s="243"/>
    </row>
    <row r="77" spans="1:16">
      <c r="A77" s="10"/>
    </row>
    <row r="78" spans="1:16">
      <c r="A78" s="10"/>
    </row>
    <row r="79" spans="1:16">
      <c r="A79" s="10"/>
    </row>
  </sheetData>
  <mergeCells count="12">
    <mergeCell ref="B26:H26"/>
    <mergeCell ref="K24:P76"/>
    <mergeCell ref="K2:P22"/>
    <mergeCell ref="B45:J46"/>
    <mergeCell ref="K1:P1"/>
    <mergeCell ref="K23:P23"/>
    <mergeCell ref="B44:J44"/>
    <mergeCell ref="B2:H2"/>
    <mergeCell ref="B3:H3"/>
    <mergeCell ref="B4:H4"/>
    <mergeCell ref="B24:H24"/>
    <mergeCell ref="B25:H25"/>
  </mergeCells>
  <phoneticPr fontId="2" type="noConversion"/>
  <pageMargins left="0.75" right="0.75" top="1" bottom="1" header="0.5" footer="0.5"/>
  <headerFooter alignWithMargins="0"/>
  <rowBreaks count="2" manualBreakCount="2">
    <brk id="38" max="9" man="1"/>
    <brk id="43" max="16383" man="1"/>
  </rowBreaks>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79998168889431442"/>
  </sheetPr>
  <dimension ref="A1:T79"/>
  <sheetViews>
    <sheetView workbookViewId="0">
      <selection activeCell="O1" sqref="O1:T1"/>
    </sheetView>
  </sheetViews>
  <sheetFormatPr baseColWidth="10" defaultColWidth="8.83203125" defaultRowHeight="12" x14ac:dyDescent="0"/>
  <cols>
    <col min="1" max="1" width="2" style="12" customWidth="1"/>
    <col min="2" max="2" width="8.83203125" style="25"/>
  </cols>
  <sheetData>
    <row r="1" spans="2:20" ht="16">
      <c r="B1" s="247" t="s">
        <v>60</v>
      </c>
      <c r="C1" s="272"/>
      <c r="D1" s="272"/>
      <c r="E1" s="272"/>
      <c r="F1" s="272"/>
      <c r="G1" s="272"/>
      <c r="H1" s="272"/>
      <c r="I1" s="272"/>
      <c r="J1" s="272"/>
      <c r="K1" s="272"/>
      <c r="L1" s="272"/>
      <c r="M1" s="272"/>
      <c r="N1" s="249"/>
      <c r="O1" s="230" t="s">
        <v>65</v>
      </c>
      <c r="P1" s="231"/>
      <c r="Q1" s="231"/>
      <c r="R1" s="231"/>
      <c r="S1" s="231"/>
      <c r="T1" s="231"/>
    </row>
    <row r="2" spans="2:20">
      <c r="B2" s="227" t="s">
        <v>66</v>
      </c>
      <c r="C2" s="273"/>
      <c r="D2" s="273"/>
      <c r="E2" s="273"/>
      <c r="F2" s="273"/>
      <c r="G2" s="273"/>
      <c r="H2" s="273"/>
      <c r="I2" s="273"/>
      <c r="J2" s="273"/>
      <c r="K2" s="273"/>
      <c r="L2" s="273"/>
      <c r="M2" s="273"/>
      <c r="N2" s="252"/>
      <c r="O2" s="242" t="s">
        <v>72</v>
      </c>
      <c r="P2" s="243"/>
      <c r="Q2" s="243"/>
      <c r="R2" s="243"/>
      <c r="S2" s="243"/>
      <c r="T2" s="243"/>
    </row>
    <row r="3" spans="2:20">
      <c r="B3" s="244"/>
      <c r="C3" s="273"/>
      <c r="D3" s="273"/>
      <c r="E3" s="273"/>
      <c r="F3" s="273"/>
      <c r="G3" s="273"/>
      <c r="H3" s="273"/>
      <c r="I3" s="273"/>
      <c r="J3" s="273"/>
      <c r="K3" s="273"/>
      <c r="L3" s="273"/>
      <c r="M3" s="273"/>
      <c r="N3" s="252"/>
      <c r="O3" s="244"/>
      <c r="P3" s="243"/>
      <c r="Q3" s="243"/>
      <c r="R3" s="243"/>
      <c r="S3" s="243"/>
      <c r="T3" s="243"/>
    </row>
    <row r="4" spans="2:20">
      <c r="O4" s="244"/>
      <c r="P4" s="243"/>
      <c r="Q4" s="243"/>
      <c r="R4" s="243"/>
      <c r="S4" s="243"/>
      <c r="T4" s="243"/>
    </row>
    <row r="5" spans="2:20">
      <c r="O5" s="244"/>
      <c r="P5" s="243"/>
      <c r="Q5" s="243"/>
      <c r="R5" s="243"/>
      <c r="S5" s="243"/>
      <c r="T5" s="243"/>
    </row>
    <row r="6" spans="2:20">
      <c r="O6" s="244"/>
      <c r="P6" s="243"/>
      <c r="Q6" s="243"/>
      <c r="R6" s="243"/>
      <c r="S6" s="243"/>
      <c r="T6" s="243"/>
    </row>
    <row r="7" spans="2:20">
      <c r="O7" s="244"/>
      <c r="P7" s="243"/>
      <c r="Q7" s="243"/>
      <c r="R7" s="243"/>
      <c r="S7" s="243"/>
      <c r="T7" s="243"/>
    </row>
    <row r="8" spans="2:20">
      <c r="O8" s="244"/>
      <c r="P8" s="243"/>
      <c r="Q8" s="243"/>
      <c r="R8" s="243"/>
      <c r="S8" s="243"/>
      <c r="T8" s="243"/>
    </row>
    <row r="9" spans="2:20">
      <c r="O9" s="244"/>
      <c r="P9" s="243"/>
      <c r="Q9" s="243"/>
      <c r="R9" s="243"/>
      <c r="S9" s="243"/>
      <c r="T9" s="243"/>
    </row>
    <row r="10" spans="2:20">
      <c r="O10" s="244"/>
      <c r="P10" s="243"/>
      <c r="Q10" s="243"/>
      <c r="R10" s="243"/>
      <c r="S10" s="243"/>
      <c r="T10" s="243"/>
    </row>
    <row r="11" spans="2:20">
      <c r="O11" s="244"/>
      <c r="P11" s="243"/>
      <c r="Q11" s="243"/>
      <c r="R11" s="243"/>
      <c r="S11" s="243"/>
      <c r="T11" s="243"/>
    </row>
    <row r="12" spans="2:20">
      <c r="O12" s="244"/>
      <c r="P12" s="243"/>
      <c r="Q12" s="243"/>
      <c r="R12" s="243"/>
      <c r="S12" s="243"/>
      <c r="T12" s="243"/>
    </row>
    <row r="13" spans="2:20">
      <c r="O13" s="244"/>
      <c r="P13" s="243"/>
      <c r="Q13" s="243"/>
      <c r="R13" s="243"/>
      <c r="S13" s="243"/>
      <c r="T13" s="243"/>
    </row>
    <row r="14" spans="2:20">
      <c r="O14" s="244"/>
      <c r="P14" s="243"/>
      <c r="Q14" s="243"/>
      <c r="R14" s="243"/>
      <c r="S14" s="243"/>
      <c r="T14" s="243"/>
    </row>
    <row r="15" spans="2:20">
      <c r="O15" s="244"/>
      <c r="P15" s="243"/>
      <c r="Q15" s="243"/>
      <c r="R15" s="243"/>
      <c r="S15" s="243"/>
      <c r="T15" s="243"/>
    </row>
    <row r="16" spans="2:20">
      <c r="O16" s="244"/>
      <c r="P16" s="243"/>
      <c r="Q16" s="243"/>
      <c r="R16" s="243"/>
      <c r="S16" s="243"/>
      <c r="T16" s="243"/>
    </row>
    <row r="17" spans="15:20">
      <c r="O17" s="244"/>
      <c r="P17" s="243"/>
      <c r="Q17" s="243"/>
      <c r="R17" s="243"/>
      <c r="S17" s="243"/>
      <c r="T17" s="243"/>
    </row>
    <row r="18" spans="15:20">
      <c r="O18" s="244"/>
      <c r="P18" s="243"/>
      <c r="Q18" s="243"/>
      <c r="R18" s="243"/>
      <c r="S18" s="243"/>
      <c r="T18" s="243"/>
    </row>
    <row r="19" spans="15:20">
      <c r="O19" s="244"/>
      <c r="P19" s="243"/>
      <c r="Q19" s="243"/>
      <c r="R19" s="243"/>
      <c r="S19" s="243"/>
      <c r="T19" s="243"/>
    </row>
    <row r="20" spans="15:20">
      <c r="O20" s="244"/>
      <c r="P20" s="243"/>
      <c r="Q20" s="243"/>
      <c r="R20" s="243"/>
      <c r="S20" s="243"/>
      <c r="T20" s="243"/>
    </row>
    <row r="21" spans="15:20">
      <c r="O21" s="244"/>
      <c r="P21" s="243"/>
      <c r="Q21" s="243"/>
      <c r="R21" s="243"/>
      <c r="S21" s="243"/>
      <c r="T21" s="243"/>
    </row>
    <row r="22" spans="15:20">
      <c r="O22" s="244"/>
      <c r="P22" s="243"/>
      <c r="Q22" s="243"/>
      <c r="R22" s="243"/>
      <c r="S22" s="243"/>
      <c r="T22" s="243"/>
    </row>
    <row r="23" spans="15:20">
      <c r="O23" s="244"/>
      <c r="P23" s="243"/>
      <c r="Q23" s="243"/>
      <c r="R23" s="243"/>
      <c r="S23" s="243"/>
      <c r="T23" s="243"/>
    </row>
    <row r="24" spans="15:20">
      <c r="O24" s="244"/>
      <c r="P24" s="243"/>
      <c r="Q24" s="243"/>
      <c r="R24" s="243"/>
      <c r="S24" s="243"/>
      <c r="T24" s="243"/>
    </row>
    <row r="25" spans="15:20">
      <c r="O25" s="244"/>
      <c r="P25" s="243"/>
      <c r="Q25" s="243"/>
      <c r="R25" s="243"/>
      <c r="S25" s="243"/>
      <c r="T25" s="243"/>
    </row>
    <row r="26" spans="15:20">
      <c r="O26" s="244"/>
      <c r="P26" s="243"/>
      <c r="Q26" s="243"/>
      <c r="R26" s="243"/>
      <c r="S26" s="243"/>
      <c r="T26" s="243"/>
    </row>
    <row r="27" spans="15:20">
      <c r="O27" s="244"/>
      <c r="P27" s="243"/>
      <c r="Q27" s="243"/>
      <c r="R27" s="243"/>
      <c r="S27" s="243"/>
      <c r="T27" s="243"/>
    </row>
    <row r="28" spans="15:20">
      <c r="O28" s="244"/>
      <c r="P28" s="243"/>
      <c r="Q28" s="243"/>
      <c r="R28" s="243"/>
      <c r="S28" s="243"/>
      <c r="T28" s="243"/>
    </row>
    <row r="29" spans="15:20">
      <c r="O29" s="244"/>
      <c r="P29" s="243"/>
      <c r="Q29" s="243"/>
      <c r="R29" s="243"/>
      <c r="S29" s="243"/>
      <c r="T29" s="243"/>
    </row>
    <row r="30" spans="15:20">
      <c r="O30" s="244"/>
      <c r="P30" s="243"/>
      <c r="Q30" s="243"/>
      <c r="R30" s="243"/>
      <c r="S30" s="243"/>
      <c r="T30" s="243"/>
    </row>
    <row r="31" spans="15:20">
      <c r="O31" s="244"/>
      <c r="P31" s="243"/>
      <c r="Q31" s="243"/>
      <c r="R31" s="243"/>
      <c r="S31" s="243"/>
      <c r="T31" s="243"/>
    </row>
    <row r="32" spans="15:20">
      <c r="O32" s="244"/>
      <c r="P32" s="243"/>
      <c r="Q32" s="243"/>
      <c r="R32" s="243"/>
      <c r="S32" s="243"/>
      <c r="T32" s="243"/>
    </row>
    <row r="33" spans="1:20">
      <c r="O33" s="244"/>
      <c r="P33" s="243"/>
      <c r="Q33" s="243"/>
      <c r="R33" s="243"/>
      <c r="S33" s="243"/>
      <c r="T33" s="243"/>
    </row>
    <row r="34" spans="1:20">
      <c r="O34" s="244"/>
      <c r="P34" s="243"/>
      <c r="Q34" s="243"/>
      <c r="R34" s="243"/>
      <c r="S34" s="243"/>
      <c r="T34" s="243"/>
    </row>
    <row r="35" spans="1:20">
      <c r="O35" s="244"/>
      <c r="P35" s="243"/>
      <c r="Q35" s="243"/>
      <c r="R35" s="243"/>
      <c r="S35" s="243"/>
      <c r="T35" s="243"/>
    </row>
    <row r="36" spans="1:20">
      <c r="O36" s="244"/>
      <c r="P36" s="243"/>
      <c r="Q36" s="243"/>
      <c r="R36" s="243"/>
      <c r="S36" s="243"/>
      <c r="T36" s="243"/>
    </row>
    <row r="37" spans="1:20">
      <c r="O37" s="244"/>
      <c r="P37" s="243"/>
      <c r="Q37" s="243"/>
      <c r="R37" s="243"/>
      <c r="S37" s="243"/>
      <c r="T37" s="243"/>
    </row>
    <row r="38" spans="1:20">
      <c r="O38" s="244"/>
      <c r="P38" s="243"/>
      <c r="Q38" s="243"/>
      <c r="R38" s="243"/>
      <c r="S38" s="243"/>
      <c r="T38" s="243"/>
    </row>
    <row r="39" spans="1:20">
      <c r="O39" s="244"/>
      <c r="P39" s="243"/>
      <c r="Q39" s="243"/>
      <c r="R39" s="243"/>
      <c r="S39" s="243"/>
      <c r="T39" s="243"/>
    </row>
    <row r="40" spans="1:20">
      <c r="O40" s="244"/>
      <c r="P40" s="243"/>
      <c r="Q40" s="243"/>
      <c r="R40" s="243"/>
      <c r="S40" s="243"/>
      <c r="T40" s="243"/>
    </row>
    <row r="41" spans="1:20">
      <c r="O41" s="244"/>
      <c r="P41" s="243"/>
      <c r="Q41" s="243"/>
      <c r="R41" s="243"/>
      <c r="S41" s="243"/>
      <c r="T41" s="243"/>
    </row>
    <row r="42" spans="1:20">
      <c r="A42" s="18"/>
      <c r="O42" s="244"/>
      <c r="P42" s="243"/>
      <c r="Q42" s="243"/>
      <c r="R42" s="243"/>
      <c r="S42" s="243"/>
      <c r="T42" s="243"/>
    </row>
    <row r="43" spans="1:20">
      <c r="O43" s="244"/>
      <c r="P43" s="243"/>
      <c r="Q43" s="243"/>
      <c r="R43" s="243"/>
      <c r="S43" s="243"/>
      <c r="T43" s="243"/>
    </row>
    <row r="44" spans="1:20">
      <c r="O44" s="244"/>
      <c r="P44" s="243"/>
      <c r="Q44" s="243"/>
      <c r="R44" s="243"/>
      <c r="S44" s="243"/>
      <c r="T44" s="243"/>
    </row>
    <row r="45" spans="1:20">
      <c r="O45" s="244"/>
      <c r="P45" s="243"/>
      <c r="Q45" s="243"/>
      <c r="R45" s="243"/>
      <c r="S45" s="243"/>
      <c r="T45" s="243"/>
    </row>
    <row r="46" spans="1:20">
      <c r="O46" s="244"/>
      <c r="P46" s="243"/>
      <c r="Q46" s="243"/>
      <c r="R46" s="243"/>
      <c r="S46" s="243"/>
      <c r="T46" s="243"/>
    </row>
    <row r="47" spans="1:20">
      <c r="O47" s="244"/>
      <c r="P47" s="243"/>
      <c r="Q47" s="243"/>
      <c r="R47" s="243"/>
      <c r="S47" s="243"/>
      <c r="T47" s="243"/>
    </row>
    <row r="48" spans="1:20">
      <c r="O48" s="244"/>
      <c r="P48" s="243"/>
      <c r="Q48" s="243"/>
      <c r="R48" s="243"/>
      <c r="S48" s="243"/>
      <c r="T48" s="243"/>
    </row>
    <row r="49" spans="15:20">
      <c r="O49" s="244"/>
      <c r="P49" s="243"/>
      <c r="Q49" s="243"/>
      <c r="R49" s="243"/>
      <c r="S49" s="243"/>
      <c r="T49" s="243"/>
    </row>
    <row r="50" spans="15:20">
      <c r="O50" s="244"/>
      <c r="P50" s="243"/>
      <c r="Q50" s="243"/>
      <c r="R50" s="243"/>
      <c r="S50" s="243"/>
      <c r="T50" s="243"/>
    </row>
    <row r="51" spans="15:20">
      <c r="O51" s="244"/>
      <c r="P51" s="243"/>
      <c r="Q51" s="243"/>
      <c r="R51" s="243"/>
      <c r="S51" s="243"/>
      <c r="T51" s="243"/>
    </row>
    <row r="52" spans="15:20">
      <c r="O52" s="244"/>
      <c r="P52" s="243"/>
      <c r="Q52" s="243"/>
      <c r="R52" s="243"/>
      <c r="S52" s="243"/>
      <c r="T52" s="243"/>
    </row>
    <row r="53" spans="15:20">
      <c r="O53" s="244"/>
      <c r="P53" s="243"/>
      <c r="Q53" s="243"/>
      <c r="R53" s="243"/>
      <c r="S53" s="243"/>
      <c r="T53" s="243"/>
    </row>
    <row r="54" spans="15:20">
      <c r="O54" s="244"/>
      <c r="P54" s="243"/>
      <c r="Q54" s="243"/>
      <c r="R54" s="243"/>
      <c r="S54" s="243"/>
      <c r="T54" s="243"/>
    </row>
    <row r="77" spans="1:1">
      <c r="A77" s="10"/>
    </row>
    <row r="78" spans="1:1">
      <c r="A78" s="10"/>
    </row>
    <row r="79" spans="1:1">
      <c r="A79" s="10"/>
    </row>
  </sheetData>
  <mergeCells count="4">
    <mergeCell ref="O1:T1"/>
    <mergeCell ref="O2:T54"/>
    <mergeCell ref="B1:N1"/>
    <mergeCell ref="B2:N3"/>
  </mergeCells>
  <phoneticPr fontId="12"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Financial Statements</vt:lpstr>
      <vt:lpstr>Restated Financial Statements</vt:lpstr>
      <vt:lpstr>Ratios</vt:lpstr>
      <vt:lpstr>Key Value Drivers</vt:lpstr>
      <vt:lpstr>Valuation</vt:lpstr>
      <vt:lpstr>Working</vt:lpstr>
    </vt:vector>
  </TitlesOfParts>
  <Company>Victoria University of Wellington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turnerma</dc:creator>
  <cp:lastModifiedBy>Hope Lauritsen</cp:lastModifiedBy>
  <cp:lastPrinted>2018-11-29T23:04:02Z</cp:lastPrinted>
  <dcterms:created xsi:type="dcterms:W3CDTF">2007-05-30T03:28:30Z</dcterms:created>
  <dcterms:modified xsi:type="dcterms:W3CDTF">2020-08-14T01:51:29Z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0x010100CA9BC582634D85478A37DBF5E33C48EA</vt:lpwstr>
  </property>
</Properties>
</file>